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D:\Users\BRAugustova\Documents\Brandýs nad Labem\2019 Garáže\VZ\Stavební rozpočet\"/>
    </mc:Choice>
  </mc:AlternateContent>
  <xr:revisionPtr revIDLastSave="0" documentId="13_ncr:1_{4BFDC0FF-68F6-4E06-BDFD-F8A74833AA0A}" xr6:coauthVersionLast="36" xr6:coauthVersionMax="36" xr10:uidLastSave="{00000000-0000-0000-0000-000000000000}"/>
  <workbookProtection workbookAlgorithmName="SHA-512" workbookHashValue="Tm9knOJjPXfV4Plx+0wgvND2NNW2fcgzYnpVfyLHF035+wqBUkskE437rz7tvatiUF6evEir+16k0bojE1bpqA==" workbookSaltValue="b99+1GLT4l5pxxZ34lnXWA==" workbookSpinCount="100000" lockStructure="1"/>
  <bookViews>
    <workbookView xWindow="0" yWindow="0" windowWidth="13800" windowHeight="4452" activeTab="1" xr2:uid="{00000000-000D-0000-FFFF-FFFF00000000}"/>
  </bookViews>
  <sheets>
    <sheet name="Krycí list rozpočtu" sheetId="4" r:id="rId1"/>
    <sheet name="VORN" sheetId="5" r:id="rId2"/>
    <sheet name="Stavební rozpočet - součet" sheetId="2" r:id="rId3"/>
    <sheet name="Stavební rozpočet" sheetId="1" r:id="rId4"/>
    <sheet name="Výkaz výměr" sheetId="3" r:id="rId5"/>
    <sheet name="Rekapitulace EI" sheetId="6" r:id="rId6"/>
    <sheet name="Rozpočet EI" sheetId="7" r:id="rId7"/>
  </sheets>
  <definedNames>
    <definedName name="_xlnm.Print_Area" localSheetId="5">'Rekapitulace EI'!$A$2:$C$34</definedName>
    <definedName name="_xlnm.Print_Area" localSheetId="6">'Rozpočet EI'!$A$1:$J$78</definedName>
    <definedName name="vorn_sum">VORN!$I$36:$I$36</definedName>
  </definedNames>
  <calcPr calcId="191029"/>
</workbook>
</file>

<file path=xl/calcChain.xml><?xml version="1.0" encoding="utf-8"?>
<calcChain xmlns="http://schemas.openxmlformats.org/spreadsheetml/2006/main">
  <c r="E76" i="7" l="1"/>
  <c r="I76" i="7" s="1"/>
  <c r="E60" i="7"/>
  <c r="I60" i="7" s="1"/>
  <c r="E75" i="7"/>
  <c r="I75" i="7" s="1"/>
  <c r="E73" i="7"/>
  <c r="I73" i="7" s="1"/>
  <c r="E71" i="7"/>
  <c r="I71" i="7" s="1"/>
  <c r="E69" i="7"/>
  <c r="I69" i="7" s="1"/>
  <c r="E67" i="7"/>
  <c r="I67" i="7" s="1"/>
  <c r="E65" i="7"/>
  <c r="H58" i="7"/>
  <c r="H57" i="7"/>
  <c r="H55" i="7"/>
  <c r="H53" i="7"/>
  <c r="H51" i="7"/>
  <c r="H49" i="7"/>
  <c r="H47" i="7"/>
  <c r="H45" i="7"/>
  <c r="H43" i="7"/>
  <c r="H41" i="7"/>
  <c r="H38" i="7"/>
  <c r="H37" i="7"/>
  <c r="H35" i="7"/>
  <c r="H34" i="7"/>
  <c r="H32" i="7"/>
  <c r="H31" i="7"/>
  <c r="H29" i="7"/>
  <c r="H27" i="7"/>
  <c r="H25" i="7"/>
  <c r="H23" i="7"/>
  <c r="H21" i="7"/>
  <c r="H20" i="7"/>
  <c r="H19" i="7"/>
  <c r="H18" i="7"/>
  <c r="H16" i="7"/>
  <c r="H15" i="7"/>
  <c r="H14" i="7"/>
  <c r="E58" i="7"/>
  <c r="E57" i="7"/>
  <c r="E55" i="7"/>
  <c r="I55" i="7" s="1"/>
  <c r="E53" i="7"/>
  <c r="E51" i="7"/>
  <c r="E49" i="7"/>
  <c r="E47" i="7"/>
  <c r="E45" i="7"/>
  <c r="E43" i="7"/>
  <c r="E41" i="7"/>
  <c r="E38" i="7"/>
  <c r="I38" i="7" s="1"/>
  <c r="E37" i="7"/>
  <c r="I37" i="7" s="1"/>
  <c r="E35" i="7"/>
  <c r="E34" i="7"/>
  <c r="E32" i="7"/>
  <c r="E31" i="7"/>
  <c r="E29" i="7"/>
  <c r="E27" i="7"/>
  <c r="E25" i="7"/>
  <c r="E23" i="7"/>
  <c r="E21" i="7"/>
  <c r="E20" i="7"/>
  <c r="E19" i="7"/>
  <c r="E18" i="7"/>
  <c r="E16" i="7"/>
  <c r="E15" i="7"/>
  <c r="E14" i="7"/>
  <c r="I14" i="7" s="1"/>
  <c r="E11" i="7"/>
  <c r="E10" i="7"/>
  <c r="E9" i="7"/>
  <c r="E8" i="7"/>
  <c r="E7" i="7"/>
  <c r="E6" i="7"/>
  <c r="E5" i="7"/>
  <c r="I5" i="7" s="1"/>
  <c r="H11" i="7"/>
  <c r="H10" i="7"/>
  <c r="H9" i="7"/>
  <c r="H8" i="7"/>
  <c r="H7" i="7"/>
  <c r="H6" i="7"/>
  <c r="H5" i="7"/>
  <c r="H4" i="7"/>
  <c r="E4" i="7"/>
  <c r="C21" i="6"/>
  <c r="I25" i="7" l="1"/>
  <c r="I35" i="7"/>
  <c r="I15" i="7"/>
  <c r="I27" i="7"/>
  <c r="I57" i="7"/>
  <c r="I41" i="7"/>
  <c r="I4" i="7"/>
  <c r="I16" i="7"/>
  <c r="I18" i="7"/>
  <c r="I19" i="7"/>
  <c r="I20" i="7"/>
  <c r="I21" i="7"/>
  <c r="I29" i="7"/>
  <c r="I31" i="7"/>
  <c r="I43" i="7"/>
  <c r="I58" i="7"/>
  <c r="I45" i="7"/>
  <c r="I47" i="7"/>
  <c r="I49" i="7"/>
  <c r="I51" i="7"/>
  <c r="I53" i="7"/>
  <c r="I34" i="7"/>
  <c r="I32" i="7"/>
  <c r="I23" i="7"/>
  <c r="I7" i="7"/>
  <c r="I6" i="7"/>
  <c r="E12" i="7"/>
  <c r="E61" i="7" s="1"/>
  <c r="B32" i="6" s="1"/>
  <c r="E78" i="7"/>
  <c r="B34" i="6" s="1"/>
  <c r="I65" i="7"/>
  <c r="I78" i="7"/>
  <c r="C10" i="6" s="1"/>
  <c r="I8" i="7"/>
  <c r="I9" i="7"/>
  <c r="I10" i="7"/>
  <c r="I11" i="7"/>
  <c r="H12" i="7"/>
  <c r="C33" i="6" s="1"/>
  <c r="C2" i="4"/>
  <c r="F2" i="4"/>
  <c r="C4" i="4"/>
  <c r="F4" i="4"/>
  <c r="C6" i="4"/>
  <c r="F6" i="4"/>
  <c r="C8" i="4"/>
  <c r="F8" i="4"/>
  <c r="C10" i="4"/>
  <c r="F10" i="4"/>
  <c r="I10" i="4"/>
  <c r="K13" i="1"/>
  <c r="Z13" i="1"/>
  <c r="AD13" i="1"/>
  <c r="AE13" i="1"/>
  <c r="AF13" i="1"/>
  <c r="AG13" i="1"/>
  <c r="AH13" i="1"/>
  <c r="AJ13" i="1"/>
  <c r="AK13" i="1"/>
  <c r="AL13" i="1"/>
  <c r="AO13" i="1"/>
  <c r="AW13" i="1" s="1"/>
  <c r="AP13" i="1"/>
  <c r="AX13" i="1" s="1"/>
  <c r="BD13" i="1"/>
  <c r="BF13" i="1"/>
  <c r="BJ13" i="1"/>
  <c r="K14" i="1"/>
  <c r="AL14" i="1" s="1"/>
  <c r="Z14" i="1"/>
  <c r="AD14" i="1"/>
  <c r="AE14" i="1"/>
  <c r="AF14" i="1"/>
  <c r="AG14" i="1"/>
  <c r="AH14" i="1"/>
  <c r="AJ14" i="1"/>
  <c r="AK14" i="1"/>
  <c r="AO14" i="1"/>
  <c r="I14" i="1" s="1"/>
  <c r="AP14" i="1"/>
  <c r="J14" i="1" s="1"/>
  <c r="BD14" i="1"/>
  <c r="BF14" i="1"/>
  <c r="BJ14" i="1"/>
  <c r="K15" i="1"/>
  <c r="AL15" i="1" s="1"/>
  <c r="Z15" i="1"/>
  <c r="AD15" i="1"/>
  <c r="AE15" i="1"/>
  <c r="AF15" i="1"/>
  <c r="AG15" i="1"/>
  <c r="AH15" i="1"/>
  <c r="AJ15" i="1"/>
  <c r="AK15" i="1"/>
  <c r="AT12" i="1" s="1"/>
  <c r="AO15" i="1"/>
  <c r="I15" i="1" s="1"/>
  <c r="AP15" i="1"/>
  <c r="BI15" i="1" s="1"/>
  <c r="AC15" i="1" s="1"/>
  <c r="BD15" i="1"/>
  <c r="BF15" i="1"/>
  <c r="BJ15" i="1"/>
  <c r="K17" i="1"/>
  <c r="AL17" i="1" s="1"/>
  <c r="Z17" i="1"/>
  <c r="AD17" i="1"/>
  <c r="AE17" i="1"/>
  <c r="AF17" i="1"/>
  <c r="AG17" i="1"/>
  <c r="AH17" i="1"/>
  <c r="AJ17" i="1"/>
  <c r="AK17" i="1"/>
  <c r="AO17" i="1"/>
  <c r="AP17" i="1"/>
  <c r="BD17" i="1"/>
  <c r="BF17" i="1"/>
  <c r="BJ17" i="1"/>
  <c r="K18" i="1"/>
  <c r="AL18" i="1" s="1"/>
  <c r="Z18" i="1"/>
  <c r="AD18" i="1"/>
  <c r="AE18" i="1"/>
  <c r="AF18" i="1"/>
  <c r="AG18" i="1"/>
  <c r="AH18" i="1"/>
  <c r="AJ18" i="1"/>
  <c r="AK18" i="1"/>
  <c r="AO18" i="1"/>
  <c r="AP18" i="1"/>
  <c r="AX18" i="1" s="1"/>
  <c r="BD18" i="1"/>
  <c r="BF18" i="1"/>
  <c r="BJ18" i="1"/>
  <c r="K20" i="1"/>
  <c r="AL20" i="1" s="1"/>
  <c r="Z20" i="1"/>
  <c r="AD20" i="1"/>
  <c r="AE20" i="1"/>
  <c r="AF20" i="1"/>
  <c r="AG20" i="1"/>
  <c r="AH20" i="1"/>
  <c r="AJ20" i="1"/>
  <c r="AK20" i="1"/>
  <c r="AO20" i="1"/>
  <c r="I20" i="1" s="1"/>
  <c r="AP20" i="1"/>
  <c r="J20" i="1" s="1"/>
  <c r="BD20" i="1"/>
  <c r="BF20" i="1"/>
  <c r="BJ20" i="1"/>
  <c r="K21" i="1"/>
  <c r="AB21" i="1"/>
  <c r="AC21" i="1"/>
  <c r="AD21" i="1"/>
  <c r="AE21" i="1"/>
  <c r="AF21" i="1"/>
  <c r="AG21" i="1"/>
  <c r="AH21" i="1"/>
  <c r="AJ21" i="1"/>
  <c r="AK21" i="1"/>
  <c r="AO21" i="1"/>
  <c r="I21" i="1" s="1"/>
  <c r="AP21" i="1"/>
  <c r="J21" i="1" s="1"/>
  <c r="BD21" i="1"/>
  <c r="BF21" i="1"/>
  <c r="BH21" i="1"/>
  <c r="BI21" i="1"/>
  <c r="BJ21" i="1"/>
  <c r="Z21" i="1" s="1"/>
  <c r="K22" i="1"/>
  <c r="AL22" i="1" s="1"/>
  <c r="Z22" i="1"/>
  <c r="AD22" i="1"/>
  <c r="AE22" i="1"/>
  <c r="AF22" i="1"/>
  <c r="AG22" i="1"/>
  <c r="AH22" i="1"/>
  <c r="AJ22" i="1"/>
  <c r="AK22" i="1"/>
  <c r="AO22" i="1"/>
  <c r="AP22" i="1"/>
  <c r="J22" i="1" s="1"/>
  <c r="BD22" i="1"/>
  <c r="BF22" i="1"/>
  <c r="BJ22" i="1"/>
  <c r="K24" i="1"/>
  <c r="Z24" i="1"/>
  <c r="AD24" i="1"/>
  <c r="AE24" i="1"/>
  <c r="AF24" i="1"/>
  <c r="AG24" i="1"/>
  <c r="AH24" i="1"/>
  <c r="AJ24" i="1"/>
  <c r="AK24" i="1"/>
  <c r="AO24" i="1"/>
  <c r="AP24" i="1"/>
  <c r="J24" i="1" s="1"/>
  <c r="BD24" i="1"/>
  <c r="BF24" i="1"/>
  <c r="BJ24" i="1"/>
  <c r="K25" i="1"/>
  <c r="AL25" i="1" s="1"/>
  <c r="Z25" i="1"/>
  <c r="AD25" i="1"/>
  <c r="AE25" i="1"/>
  <c r="AF25" i="1"/>
  <c r="AG25" i="1"/>
  <c r="AH25" i="1"/>
  <c r="AJ25" i="1"/>
  <c r="AK25" i="1"/>
  <c r="AO25" i="1"/>
  <c r="I25" i="1" s="1"/>
  <c r="AP25" i="1"/>
  <c r="J25" i="1" s="1"/>
  <c r="BD25" i="1"/>
  <c r="BF25" i="1"/>
  <c r="BH25" i="1"/>
  <c r="AB25" i="1" s="1"/>
  <c r="BJ25" i="1"/>
  <c r="K27" i="1"/>
  <c r="AL27" i="1" s="1"/>
  <c r="Z27" i="1"/>
  <c r="AD27" i="1"/>
  <c r="AE27" i="1"/>
  <c r="AF27" i="1"/>
  <c r="AG27" i="1"/>
  <c r="AH27" i="1"/>
  <c r="AJ27" i="1"/>
  <c r="AK27" i="1"/>
  <c r="AO27" i="1"/>
  <c r="I27" i="1" s="1"/>
  <c r="AP27" i="1"/>
  <c r="J27" i="1" s="1"/>
  <c r="BD27" i="1"/>
  <c r="BF27" i="1"/>
  <c r="BJ27" i="1"/>
  <c r="K29" i="1"/>
  <c r="AL29" i="1" s="1"/>
  <c r="Z29" i="1"/>
  <c r="AD29" i="1"/>
  <c r="AE29" i="1"/>
  <c r="AF29" i="1"/>
  <c r="AG29" i="1"/>
  <c r="AH29" i="1"/>
  <c r="AJ29" i="1"/>
  <c r="AK29" i="1"/>
  <c r="AO29" i="1"/>
  <c r="I29" i="1" s="1"/>
  <c r="AP29" i="1"/>
  <c r="BD29" i="1"/>
  <c r="BF29" i="1"/>
  <c r="BH29" i="1"/>
  <c r="AB29" i="1" s="1"/>
  <c r="BJ29" i="1"/>
  <c r="K31" i="1"/>
  <c r="AL31" i="1" s="1"/>
  <c r="Z31" i="1"/>
  <c r="AD31" i="1"/>
  <c r="AE31" i="1"/>
  <c r="AF31" i="1"/>
  <c r="AG31" i="1"/>
  <c r="AH31" i="1"/>
  <c r="AJ31" i="1"/>
  <c r="AK31" i="1"/>
  <c r="AO31" i="1"/>
  <c r="I31" i="1" s="1"/>
  <c r="AP31" i="1"/>
  <c r="BD31" i="1"/>
  <c r="BF31" i="1"/>
  <c r="BH31" i="1"/>
  <c r="AB31" i="1" s="1"/>
  <c r="BJ31" i="1"/>
  <c r="K32" i="1"/>
  <c r="AL32" i="1" s="1"/>
  <c r="Z32" i="1"/>
  <c r="AD32" i="1"/>
  <c r="AE32" i="1"/>
  <c r="AF32" i="1"/>
  <c r="AG32" i="1"/>
  <c r="AH32" i="1"/>
  <c r="AJ32" i="1"/>
  <c r="AK32" i="1"/>
  <c r="AO32" i="1"/>
  <c r="I32" i="1" s="1"/>
  <c r="AP32" i="1"/>
  <c r="BI32" i="1" s="1"/>
  <c r="AC32" i="1" s="1"/>
  <c r="BD32" i="1"/>
  <c r="BF32" i="1"/>
  <c r="BJ32" i="1"/>
  <c r="K34" i="1"/>
  <c r="AL34" i="1" s="1"/>
  <c r="Z34" i="1"/>
  <c r="AD34" i="1"/>
  <c r="AE34" i="1"/>
  <c r="AF34" i="1"/>
  <c r="AG34" i="1"/>
  <c r="AH34" i="1"/>
  <c r="AJ34" i="1"/>
  <c r="AK34" i="1"/>
  <c r="AO34" i="1"/>
  <c r="I34" i="1" s="1"/>
  <c r="AP34" i="1"/>
  <c r="BI34" i="1" s="1"/>
  <c r="AC34" i="1" s="1"/>
  <c r="BD34" i="1"/>
  <c r="BF34" i="1"/>
  <c r="BJ34" i="1"/>
  <c r="K36" i="1"/>
  <c r="AL36" i="1" s="1"/>
  <c r="Z36" i="1"/>
  <c r="AD36" i="1"/>
  <c r="AE36" i="1"/>
  <c r="AF36" i="1"/>
  <c r="AG36" i="1"/>
  <c r="AH36" i="1"/>
  <c r="AJ36" i="1"/>
  <c r="AK36" i="1"/>
  <c r="AO36" i="1"/>
  <c r="BH36" i="1" s="1"/>
  <c r="AB36" i="1" s="1"/>
  <c r="AP36" i="1"/>
  <c r="BD36" i="1"/>
  <c r="BF36" i="1"/>
  <c r="BJ36" i="1"/>
  <c r="K38" i="1"/>
  <c r="AL38" i="1" s="1"/>
  <c r="Z38" i="1"/>
  <c r="AD38" i="1"/>
  <c r="AE38" i="1"/>
  <c r="AF38" i="1"/>
  <c r="AG38" i="1"/>
  <c r="AH38" i="1"/>
  <c r="AJ38" i="1"/>
  <c r="AK38" i="1"/>
  <c r="AO38" i="1"/>
  <c r="I38" i="1" s="1"/>
  <c r="AP38" i="1"/>
  <c r="J38" i="1" s="1"/>
  <c r="BD38" i="1"/>
  <c r="BF38" i="1"/>
  <c r="BJ38" i="1"/>
  <c r="K39" i="1"/>
  <c r="AL39" i="1" s="1"/>
  <c r="Z39" i="1"/>
  <c r="AD39" i="1"/>
  <c r="AE39" i="1"/>
  <c r="AF39" i="1"/>
  <c r="AG39" i="1"/>
  <c r="AH39" i="1"/>
  <c r="AJ39" i="1"/>
  <c r="AK39" i="1"/>
  <c r="AO39" i="1"/>
  <c r="AP39" i="1"/>
  <c r="J39" i="1" s="1"/>
  <c r="BD39" i="1"/>
  <c r="BF39" i="1"/>
  <c r="BJ39" i="1"/>
  <c r="K41" i="1"/>
  <c r="AL41" i="1" s="1"/>
  <c r="Z41" i="1"/>
  <c r="AD41" i="1"/>
  <c r="AE41" i="1"/>
  <c r="AF41" i="1"/>
  <c r="AG41" i="1"/>
  <c r="AH41" i="1"/>
  <c r="AJ41" i="1"/>
  <c r="AK41" i="1"/>
  <c r="AO41" i="1"/>
  <c r="AP41" i="1"/>
  <c r="BD41" i="1"/>
  <c r="BF41" i="1"/>
  <c r="BJ41" i="1"/>
  <c r="K44" i="1"/>
  <c r="AL44" i="1" s="1"/>
  <c r="Z44" i="1"/>
  <c r="AD44" i="1"/>
  <c r="AE44" i="1"/>
  <c r="AF44" i="1"/>
  <c r="AG44" i="1"/>
  <c r="AH44" i="1"/>
  <c r="AJ44" i="1"/>
  <c r="AK44" i="1"/>
  <c r="AO44" i="1"/>
  <c r="AW44" i="1" s="1"/>
  <c r="AP44" i="1"/>
  <c r="BI44" i="1" s="1"/>
  <c r="AC44" i="1" s="1"/>
  <c r="BD44" i="1"/>
  <c r="BF44" i="1"/>
  <c r="BH44" i="1"/>
  <c r="AB44" i="1" s="1"/>
  <c r="BJ44" i="1"/>
  <c r="K45" i="1"/>
  <c r="AL45" i="1" s="1"/>
  <c r="Z45" i="1"/>
  <c r="AD45" i="1"/>
  <c r="AE45" i="1"/>
  <c r="AF45" i="1"/>
  <c r="AG45" i="1"/>
  <c r="AH45" i="1"/>
  <c r="AJ45" i="1"/>
  <c r="AK45" i="1"/>
  <c r="AO45" i="1"/>
  <c r="AP45" i="1"/>
  <c r="J45" i="1" s="1"/>
  <c r="BD45" i="1"/>
  <c r="BF45" i="1"/>
  <c r="BH45" i="1"/>
  <c r="AB45" i="1" s="1"/>
  <c r="BI45" i="1"/>
  <c r="AC45" i="1" s="1"/>
  <c r="BJ45" i="1"/>
  <c r="K47" i="1"/>
  <c r="AL47" i="1" s="1"/>
  <c r="Z47" i="1"/>
  <c r="AD47" i="1"/>
  <c r="AE47" i="1"/>
  <c r="AF47" i="1"/>
  <c r="AG47" i="1"/>
  <c r="AH47" i="1"/>
  <c r="AJ47" i="1"/>
  <c r="AK47" i="1"/>
  <c r="AO47" i="1"/>
  <c r="I47" i="1" s="1"/>
  <c r="AP47" i="1"/>
  <c r="J47" i="1" s="1"/>
  <c r="BD47" i="1"/>
  <c r="BF47" i="1"/>
  <c r="BH47" i="1"/>
  <c r="AB47" i="1" s="1"/>
  <c r="BJ47" i="1"/>
  <c r="K48" i="1"/>
  <c r="AL48" i="1" s="1"/>
  <c r="Z48" i="1"/>
  <c r="AD48" i="1"/>
  <c r="AE48" i="1"/>
  <c r="AF48" i="1"/>
  <c r="AG48" i="1"/>
  <c r="AH48" i="1"/>
  <c r="AJ48" i="1"/>
  <c r="AK48" i="1"/>
  <c r="AO48" i="1"/>
  <c r="BH48" i="1" s="1"/>
  <c r="AB48" i="1" s="1"/>
  <c r="I48" i="1"/>
  <c r="AP48" i="1"/>
  <c r="BD48" i="1"/>
  <c r="BF48" i="1"/>
  <c r="BJ48" i="1"/>
  <c r="K50" i="1"/>
  <c r="AL50" i="1" s="1"/>
  <c r="Z50" i="1"/>
  <c r="AD50" i="1"/>
  <c r="AE50" i="1"/>
  <c r="AF50" i="1"/>
  <c r="AG50" i="1"/>
  <c r="AH50" i="1"/>
  <c r="AJ50" i="1"/>
  <c r="AK50" i="1"/>
  <c r="AO50" i="1"/>
  <c r="AW50" i="1" s="1"/>
  <c r="AP50" i="1"/>
  <c r="BI50" i="1" s="1"/>
  <c r="AC50" i="1" s="1"/>
  <c r="BD50" i="1"/>
  <c r="BF50" i="1"/>
  <c r="BJ50" i="1"/>
  <c r="K52" i="1"/>
  <c r="AL52" i="1" s="1"/>
  <c r="Z52" i="1"/>
  <c r="AD52" i="1"/>
  <c r="AE52" i="1"/>
  <c r="AF52" i="1"/>
  <c r="AG52" i="1"/>
  <c r="AH52" i="1"/>
  <c r="AJ52" i="1"/>
  <c r="AK52" i="1"/>
  <c r="AO52" i="1"/>
  <c r="BH52" i="1" s="1"/>
  <c r="AB52" i="1" s="1"/>
  <c r="AP52" i="1"/>
  <c r="BD52" i="1"/>
  <c r="BF52" i="1"/>
  <c r="BJ52" i="1"/>
  <c r="K54" i="1"/>
  <c r="Z54" i="1"/>
  <c r="AD54" i="1"/>
  <c r="AE54" i="1"/>
  <c r="AF54" i="1"/>
  <c r="AG54" i="1"/>
  <c r="AH54" i="1"/>
  <c r="AJ54" i="1"/>
  <c r="AK54" i="1"/>
  <c r="AO54" i="1"/>
  <c r="AW54" i="1" s="1"/>
  <c r="AP54" i="1"/>
  <c r="BI54" i="1" s="1"/>
  <c r="AC54" i="1" s="1"/>
  <c r="BD54" i="1"/>
  <c r="BF54" i="1"/>
  <c r="BJ54" i="1"/>
  <c r="K55" i="1"/>
  <c r="AL55" i="1" s="1"/>
  <c r="Z55" i="1"/>
  <c r="AD55" i="1"/>
  <c r="AE55" i="1"/>
  <c r="AF55" i="1"/>
  <c r="AG55" i="1"/>
  <c r="AH55" i="1"/>
  <c r="AJ55" i="1"/>
  <c r="AK55" i="1"/>
  <c r="AO55" i="1"/>
  <c r="AP55" i="1"/>
  <c r="J55" i="1" s="1"/>
  <c r="BD55" i="1"/>
  <c r="BF55" i="1"/>
  <c r="BH55" i="1"/>
  <c r="AB55" i="1" s="1"/>
  <c r="BI55" i="1"/>
  <c r="AC55" i="1" s="1"/>
  <c r="BJ55" i="1"/>
  <c r="K56" i="1"/>
  <c r="AL56" i="1" s="1"/>
  <c r="Z56" i="1"/>
  <c r="AD56" i="1"/>
  <c r="AE56" i="1"/>
  <c r="AF56" i="1"/>
  <c r="AG56" i="1"/>
  <c r="AH56" i="1"/>
  <c r="AJ56" i="1"/>
  <c r="AK56" i="1"/>
  <c r="AO56" i="1"/>
  <c r="BH56" i="1" s="1"/>
  <c r="AB56" i="1" s="1"/>
  <c r="AP56" i="1"/>
  <c r="J56" i="1" s="1"/>
  <c r="BD56" i="1"/>
  <c r="BF56" i="1"/>
  <c r="BJ56" i="1"/>
  <c r="K58" i="1"/>
  <c r="AL58" i="1" s="1"/>
  <c r="AU57" i="1" s="1"/>
  <c r="Z58" i="1"/>
  <c r="AD58" i="1"/>
  <c r="AE58" i="1"/>
  <c r="AF58" i="1"/>
  <c r="AG58" i="1"/>
  <c r="AH58" i="1"/>
  <c r="AJ58" i="1"/>
  <c r="AK58" i="1"/>
  <c r="AT57" i="1" s="1"/>
  <c r="AO58" i="1"/>
  <c r="AW58" i="1" s="1"/>
  <c r="AP58" i="1"/>
  <c r="BD58" i="1"/>
  <c r="BF58" i="1"/>
  <c r="BH58" i="1"/>
  <c r="AB58" i="1" s="1"/>
  <c r="BJ58" i="1"/>
  <c r="K61" i="1"/>
  <c r="AL61" i="1" s="1"/>
  <c r="Z61" i="1"/>
  <c r="AD61" i="1"/>
  <c r="AE61" i="1"/>
  <c r="AF61" i="1"/>
  <c r="AG61" i="1"/>
  <c r="AH61" i="1"/>
  <c r="AJ61" i="1"/>
  <c r="AK61" i="1"/>
  <c r="AO61" i="1"/>
  <c r="AP61" i="1"/>
  <c r="BD61" i="1"/>
  <c r="BF61" i="1"/>
  <c r="BH61" i="1"/>
  <c r="AB61" i="1" s="1"/>
  <c r="BI61" i="1"/>
  <c r="AC61" i="1" s="1"/>
  <c r="BJ61" i="1"/>
  <c r="K63" i="1"/>
  <c r="AL63" i="1" s="1"/>
  <c r="Z63" i="1"/>
  <c r="AD63" i="1"/>
  <c r="AE63" i="1"/>
  <c r="AF63" i="1"/>
  <c r="AG63" i="1"/>
  <c r="AH63" i="1"/>
  <c r="AJ63" i="1"/>
  <c r="AK63" i="1"/>
  <c r="AO63" i="1"/>
  <c r="I63" i="1" s="1"/>
  <c r="AP63" i="1"/>
  <c r="J63" i="1" s="1"/>
  <c r="BD63" i="1"/>
  <c r="BF63" i="1"/>
  <c r="BJ63" i="1"/>
  <c r="K64" i="1"/>
  <c r="AL64" i="1" s="1"/>
  <c r="Z64" i="1"/>
  <c r="AD64" i="1"/>
  <c r="AE64" i="1"/>
  <c r="AF64" i="1"/>
  <c r="AG64" i="1"/>
  <c r="AH64" i="1"/>
  <c r="AJ64" i="1"/>
  <c r="AK64" i="1"/>
  <c r="AO64" i="1"/>
  <c r="BH64" i="1" s="1"/>
  <c r="AB64" i="1" s="1"/>
  <c r="AP64" i="1"/>
  <c r="J64" i="1" s="1"/>
  <c r="BD64" i="1"/>
  <c r="BF64" i="1"/>
  <c r="BJ64" i="1"/>
  <c r="K65" i="1"/>
  <c r="AL65" i="1" s="1"/>
  <c r="Z65" i="1"/>
  <c r="AD65" i="1"/>
  <c r="AE65" i="1"/>
  <c r="AF65" i="1"/>
  <c r="AG65" i="1"/>
  <c r="AH65" i="1"/>
  <c r="AJ65" i="1"/>
  <c r="AK65" i="1"/>
  <c r="AO65" i="1"/>
  <c r="I65" i="1" s="1"/>
  <c r="AP65" i="1"/>
  <c r="J65" i="1" s="1"/>
  <c r="BD65" i="1"/>
  <c r="BF65" i="1"/>
  <c r="BH65" i="1"/>
  <c r="AB65" i="1" s="1"/>
  <c r="BI65" i="1"/>
  <c r="AC65" i="1" s="1"/>
  <c r="BJ65" i="1"/>
  <c r="K67" i="1"/>
  <c r="AL67" i="1" s="1"/>
  <c r="Z67" i="1"/>
  <c r="AD67" i="1"/>
  <c r="AE67" i="1"/>
  <c r="AF67" i="1"/>
  <c r="AG67" i="1"/>
  <c r="AH67" i="1"/>
  <c r="AJ67" i="1"/>
  <c r="AK67" i="1"/>
  <c r="AO67" i="1"/>
  <c r="AP67" i="1"/>
  <c r="J67" i="1" s="1"/>
  <c r="BD67" i="1"/>
  <c r="BF67" i="1"/>
  <c r="BJ67" i="1"/>
  <c r="K68" i="1"/>
  <c r="Z68" i="1"/>
  <c r="AD68" i="1"/>
  <c r="AE68" i="1"/>
  <c r="AF68" i="1"/>
  <c r="AG68" i="1"/>
  <c r="AH68" i="1"/>
  <c r="AJ68" i="1"/>
  <c r="AK68" i="1"/>
  <c r="AO68" i="1"/>
  <c r="I68" i="1" s="1"/>
  <c r="AP68" i="1"/>
  <c r="J68" i="1" s="1"/>
  <c r="BD68" i="1"/>
  <c r="BF68" i="1"/>
  <c r="BH68" i="1"/>
  <c r="AB68" i="1" s="1"/>
  <c r="BI68" i="1"/>
  <c r="AC68" i="1" s="1"/>
  <c r="BJ68" i="1"/>
  <c r="K69" i="1"/>
  <c r="AL69" i="1" s="1"/>
  <c r="Z69" i="1"/>
  <c r="AD69" i="1"/>
  <c r="AE69" i="1"/>
  <c r="AF69" i="1"/>
  <c r="AG69" i="1"/>
  <c r="AH69" i="1"/>
  <c r="AJ69" i="1"/>
  <c r="AK69" i="1"/>
  <c r="AO69" i="1"/>
  <c r="I69" i="1" s="1"/>
  <c r="AP69" i="1"/>
  <c r="J69" i="1" s="1"/>
  <c r="BD69" i="1"/>
  <c r="BF69" i="1"/>
  <c r="BJ69" i="1"/>
  <c r="K70" i="1"/>
  <c r="AL70" i="1" s="1"/>
  <c r="Z70" i="1"/>
  <c r="AD70" i="1"/>
  <c r="AE70" i="1"/>
  <c r="AF70" i="1"/>
  <c r="AG70" i="1"/>
  <c r="AH70" i="1"/>
  <c r="AJ70" i="1"/>
  <c r="AK70" i="1"/>
  <c r="AO70" i="1"/>
  <c r="I70" i="1" s="1"/>
  <c r="AP70" i="1"/>
  <c r="J70" i="1" s="1"/>
  <c r="BD70" i="1"/>
  <c r="BF70" i="1"/>
  <c r="BI70" i="1"/>
  <c r="AC70" i="1" s="1"/>
  <c r="BJ70" i="1"/>
  <c r="K71" i="1"/>
  <c r="AL71" i="1" s="1"/>
  <c r="Z71" i="1"/>
  <c r="AD71" i="1"/>
  <c r="AE71" i="1"/>
  <c r="AF71" i="1"/>
  <c r="AG71" i="1"/>
  <c r="AH71" i="1"/>
  <c r="AJ71" i="1"/>
  <c r="AK71" i="1"/>
  <c r="AO71" i="1"/>
  <c r="AW71" i="1" s="1"/>
  <c r="AP71" i="1"/>
  <c r="BD71" i="1"/>
  <c r="BF71" i="1"/>
  <c r="BJ71" i="1"/>
  <c r="K73" i="1"/>
  <c r="Z73" i="1"/>
  <c r="AD73" i="1"/>
  <c r="AE73" i="1"/>
  <c r="AF73" i="1"/>
  <c r="AG73" i="1"/>
  <c r="AH73" i="1"/>
  <c r="AJ73" i="1"/>
  <c r="AK73" i="1"/>
  <c r="AO73" i="1"/>
  <c r="AP73" i="1"/>
  <c r="BI73" i="1" s="1"/>
  <c r="AC73" i="1" s="1"/>
  <c r="BD73" i="1"/>
  <c r="BF73" i="1"/>
  <c r="BH73" i="1"/>
  <c r="AB73" i="1" s="1"/>
  <c r="BJ73" i="1"/>
  <c r="K74" i="1"/>
  <c r="AL74" i="1" s="1"/>
  <c r="Z74" i="1"/>
  <c r="AD74" i="1"/>
  <c r="AE74" i="1"/>
  <c r="AF74" i="1"/>
  <c r="AG74" i="1"/>
  <c r="AH74" i="1"/>
  <c r="AJ74" i="1"/>
  <c r="AK74" i="1"/>
  <c r="AO74" i="1"/>
  <c r="I74" i="1" s="1"/>
  <c r="AP74" i="1"/>
  <c r="J74" i="1" s="1"/>
  <c r="BD74" i="1"/>
  <c r="BF74" i="1"/>
  <c r="BH74" i="1"/>
  <c r="AB74" i="1" s="1"/>
  <c r="BI74" i="1"/>
  <c r="AC74" i="1" s="1"/>
  <c r="BJ74" i="1"/>
  <c r="K76" i="1"/>
  <c r="AL76" i="1" s="1"/>
  <c r="Z76" i="1"/>
  <c r="AD76" i="1"/>
  <c r="AE76" i="1"/>
  <c r="AF76" i="1"/>
  <c r="AG76" i="1"/>
  <c r="AH76" i="1"/>
  <c r="AJ76" i="1"/>
  <c r="AK76" i="1"/>
  <c r="AO76" i="1"/>
  <c r="AP76" i="1"/>
  <c r="J76" i="1" s="1"/>
  <c r="BD76" i="1"/>
  <c r="BF76" i="1"/>
  <c r="BI76" i="1"/>
  <c r="AC76" i="1" s="1"/>
  <c r="BJ76" i="1"/>
  <c r="K79" i="1"/>
  <c r="K78" i="1" s="1"/>
  <c r="Z79" i="1"/>
  <c r="AD79" i="1"/>
  <c r="AE79" i="1"/>
  <c r="AF79" i="1"/>
  <c r="AG79" i="1"/>
  <c r="AH79" i="1"/>
  <c r="AJ79" i="1"/>
  <c r="AS78" i="1" s="1"/>
  <c r="AK79" i="1"/>
  <c r="AT78" i="1" s="1"/>
  <c r="AO79" i="1"/>
  <c r="AP79" i="1"/>
  <c r="J79" i="1" s="1"/>
  <c r="J78" i="1" s="1"/>
  <c r="F24" i="2" s="1"/>
  <c r="BD79" i="1"/>
  <c r="BF79" i="1"/>
  <c r="BH79" i="1"/>
  <c r="AB79" i="1" s="1"/>
  <c r="BJ79" i="1"/>
  <c r="K82" i="1"/>
  <c r="AL82" i="1" s="1"/>
  <c r="Z82" i="1"/>
  <c r="AB82" i="1"/>
  <c r="AC82" i="1"/>
  <c r="AF82" i="1"/>
  <c r="AG82" i="1"/>
  <c r="AH82" i="1"/>
  <c r="AJ82" i="1"/>
  <c r="AK82" i="1"/>
  <c r="AO82" i="1"/>
  <c r="AP82" i="1"/>
  <c r="BD82" i="1"/>
  <c r="BF82" i="1"/>
  <c r="BJ82" i="1"/>
  <c r="K84" i="1"/>
  <c r="AL84" i="1" s="1"/>
  <c r="Z84" i="1"/>
  <c r="AB84" i="1"/>
  <c r="AC84" i="1"/>
  <c r="AF84" i="1"/>
  <c r="AG84" i="1"/>
  <c r="AH84" i="1"/>
  <c r="AJ84" i="1"/>
  <c r="AK84" i="1"/>
  <c r="AO84" i="1"/>
  <c r="BH84" i="1" s="1"/>
  <c r="AD84" i="1" s="1"/>
  <c r="AP84" i="1"/>
  <c r="BI84" i="1" s="1"/>
  <c r="AE84" i="1" s="1"/>
  <c r="BD84" i="1"/>
  <c r="BF84" i="1"/>
  <c r="BJ84" i="1"/>
  <c r="K86" i="1"/>
  <c r="AL86" i="1" s="1"/>
  <c r="AB86" i="1"/>
  <c r="AC86" i="1"/>
  <c r="AD86" i="1"/>
  <c r="AE86" i="1"/>
  <c r="AF86" i="1"/>
  <c r="AG86" i="1"/>
  <c r="AH86" i="1"/>
  <c r="AJ86" i="1"/>
  <c r="AK86" i="1"/>
  <c r="AO86" i="1"/>
  <c r="AP86" i="1"/>
  <c r="BD86" i="1"/>
  <c r="BF86" i="1"/>
  <c r="BJ86" i="1"/>
  <c r="Z86" i="1" s="1"/>
  <c r="K88" i="1"/>
  <c r="Z88" i="1"/>
  <c r="AB88" i="1"/>
  <c r="AC88" i="1"/>
  <c r="AF88" i="1"/>
  <c r="AG88" i="1"/>
  <c r="AH88" i="1"/>
  <c r="AJ88" i="1"/>
  <c r="AK88" i="1"/>
  <c r="AO88" i="1"/>
  <c r="AP88" i="1"/>
  <c r="BD88" i="1"/>
  <c r="BF88" i="1"/>
  <c r="BJ88" i="1"/>
  <c r="K90" i="1"/>
  <c r="AL90" i="1" s="1"/>
  <c r="AB90" i="1"/>
  <c r="AC90" i="1"/>
  <c r="AD90" i="1"/>
  <c r="AE90" i="1"/>
  <c r="AF90" i="1"/>
  <c r="AG90" i="1"/>
  <c r="AH90" i="1"/>
  <c r="AJ90" i="1"/>
  <c r="AK90" i="1"/>
  <c r="AO90" i="1"/>
  <c r="AP90" i="1"/>
  <c r="AX90" i="1" s="1"/>
  <c r="BD90" i="1"/>
  <c r="BF90" i="1"/>
  <c r="BI90" i="1"/>
  <c r="BJ90" i="1"/>
  <c r="Z90" i="1" s="1"/>
  <c r="K92" i="1"/>
  <c r="AL92" i="1" s="1"/>
  <c r="Z92" i="1"/>
  <c r="AB92" i="1"/>
  <c r="AC92" i="1"/>
  <c r="AF92" i="1"/>
  <c r="AG92" i="1"/>
  <c r="AH92" i="1"/>
  <c r="AJ92" i="1"/>
  <c r="AK92" i="1"/>
  <c r="AO92" i="1"/>
  <c r="AW92" i="1" s="1"/>
  <c r="AP92" i="1"/>
  <c r="BD92" i="1"/>
  <c r="BF92" i="1"/>
  <c r="BH92" i="1"/>
  <c r="AD92" i="1" s="1"/>
  <c r="BI92" i="1"/>
  <c r="AE92" i="1" s="1"/>
  <c r="BJ92" i="1"/>
  <c r="K93" i="1"/>
  <c r="AL93" i="1" s="1"/>
  <c r="Z93" i="1"/>
  <c r="AB93" i="1"/>
  <c r="AC93" i="1"/>
  <c r="AF93" i="1"/>
  <c r="AG93" i="1"/>
  <c r="AH93" i="1"/>
  <c r="AJ93" i="1"/>
  <c r="AK93" i="1"/>
  <c r="AO93" i="1"/>
  <c r="AP93" i="1"/>
  <c r="J93" i="1" s="1"/>
  <c r="BD93" i="1"/>
  <c r="BF93" i="1"/>
  <c r="BH93" i="1"/>
  <c r="AD93" i="1" s="1"/>
  <c r="BJ93" i="1"/>
  <c r="K95" i="1"/>
  <c r="AL95" i="1" s="1"/>
  <c r="Z95" i="1"/>
  <c r="AB95" i="1"/>
  <c r="AC95" i="1"/>
  <c r="AF95" i="1"/>
  <c r="AG95" i="1"/>
  <c r="AH95" i="1"/>
  <c r="AJ95" i="1"/>
  <c r="AK95" i="1"/>
  <c r="AO95" i="1"/>
  <c r="I95" i="1" s="1"/>
  <c r="AP95" i="1"/>
  <c r="AX95" i="1" s="1"/>
  <c r="BD95" i="1"/>
  <c r="BF95" i="1"/>
  <c r="BH95" i="1"/>
  <c r="AD95" i="1" s="1"/>
  <c r="BJ95" i="1"/>
  <c r="K96" i="1"/>
  <c r="AL96" i="1" s="1"/>
  <c r="Z96" i="1"/>
  <c r="AB96" i="1"/>
  <c r="AC96" i="1"/>
  <c r="AF96" i="1"/>
  <c r="AG96" i="1"/>
  <c r="AH96" i="1"/>
  <c r="AJ96" i="1"/>
  <c r="AK96" i="1"/>
  <c r="AO96" i="1"/>
  <c r="I96" i="1" s="1"/>
  <c r="AP96" i="1"/>
  <c r="AX96" i="1" s="1"/>
  <c r="BD96" i="1"/>
  <c r="BF96" i="1"/>
  <c r="BI96" i="1"/>
  <c r="AE96" i="1" s="1"/>
  <c r="BJ96" i="1"/>
  <c r="K98" i="1"/>
  <c r="AL98" i="1" s="1"/>
  <c r="AB98" i="1"/>
  <c r="AC98" i="1"/>
  <c r="AD98" i="1"/>
  <c r="AE98" i="1"/>
  <c r="AF98" i="1"/>
  <c r="AG98" i="1"/>
  <c r="AH98" i="1"/>
  <c r="AJ98" i="1"/>
  <c r="AK98" i="1"/>
  <c r="AO98" i="1"/>
  <c r="AW98" i="1" s="1"/>
  <c r="AP98" i="1"/>
  <c r="AX98" i="1" s="1"/>
  <c r="BD98" i="1"/>
  <c r="BF98" i="1"/>
  <c r="BI98" i="1"/>
  <c r="BJ98" i="1"/>
  <c r="Z98" i="1" s="1"/>
  <c r="K100" i="1"/>
  <c r="AL100" i="1" s="1"/>
  <c r="Z100" i="1"/>
  <c r="AB100" i="1"/>
  <c r="AC100" i="1"/>
  <c r="AF100" i="1"/>
  <c r="AG100" i="1"/>
  <c r="AH100" i="1"/>
  <c r="AJ100" i="1"/>
  <c r="AK100" i="1"/>
  <c r="AO100" i="1"/>
  <c r="AP100" i="1"/>
  <c r="J100" i="1" s="1"/>
  <c r="BD100" i="1"/>
  <c r="BF100" i="1"/>
  <c r="BJ100" i="1"/>
  <c r="K101" i="1"/>
  <c r="AL101" i="1" s="1"/>
  <c r="Z101" i="1"/>
  <c r="AB101" i="1"/>
  <c r="AC101" i="1"/>
  <c r="AF101" i="1"/>
  <c r="AG101" i="1"/>
  <c r="AH101" i="1"/>
  <c r="AJ101" i="1"/>
  <c r="AK101" i="1"/>
  <c r="AO101" i="1"/>
  <c r="I101" i="1" s="1"/>
  <c r="AP101" i="1"/>
  <c r="BD101" i="1"/>
  <c r="BF101" i="1"/>
  <c r="BJ101" i="1"/>
  <c r="K104" i="1"/>
  <c r="AL104" i="1" s="1"/>
  <c r="Z104" i="1"/>
  <c r="AB104" i="1"/>
  <c r="AC104" i="1"/>
  <c r="AF104" i="1"/>
  <c r="AG104" i="1"/>
  <c r="AH104" i="1"/>
  <c r="AJ104" i="1"/>
  <c r="AK104" i="1"/>
  <c r="AO104" i="1"/>
  <c r="AW104" i="1" s="1"/>
  <c r="AP104" i="1"/>
  <c r="BD104" i="1"/>
  <c r="BF104" i="1"/>
  <c r="BH104" i="1"/>
  <c r="AD104" i="1" s="1"/>
  <c r="BJ104" i="1"/>
  <c r="K105" i="1"/>
  <c r="AL105" i="1" s="1"/>
  <c r="Z105" i="1"/>
  <c r="AB105" i="1"/>
  <c r="AC105" i="1"/>
  <c r="AF105" i="1"/>
  <c r="AG105" i="1"/>
  <c r="AH105" i="1"/>
  <c r="AJ105" i="1"/>
  <c r="AK105" i="1"/>
  <c r="AO105" i="1"/>
  <c r="BH105" i="1" s="1"/>
  <c r="AD105" i="1" s="1"/>
  <c r="AP105" i="1"/>
  <c r="BD105" i="1"/>
  <c r="BF105" i="1"/>
  <c r="BJ105" i="1"/>
  <c r="K106" i="1"/>
  <c r="AL106" i="1" s="1"/>
  <c r="AB106" i="1"/>
  <c r="AC106" i="1"/>
  <c r="AD106" i="1"/>
  <c r="AE106" i="1"/>
  <c r="AF106" i="1"/>
  <c r="AG106" i="1"/>
  <c r="AH106" i="1"/>
  <c r="AJ106" i="1"/>
  <c r="AK106" i="1"/>
  <c r="AO106" i="1"/>
  <c r="I106" i="1" s="1"/>
  <c r="AP106" i="1"/>
  <c r="J106" i="1" s="1"/>
  <c r="BD106" i="1"/>
  <c r="BF106" i="1"/>
  <c r="BJ106" i="1"/>
  <c r="Z106" i="1" s="1"/>
  <c r="K108" i="1"/>
  <c r="AL108" i="1" s="1"/>
  <c r="Z108" i="1"/>
  <c r="AB108" i="1"/>
  <c r="AC108" i="1"/>
  <c r="AF108" i="1"/>
  <c r="AG108" i="1"/>
  <c r="AH108" i="1"/>
  <c r="AJ108" i="1"/>
  <c r="AK108" i="1"/>
  <c r="AO108" i="1"/>
  <c r="AP108" i="1"/>
  <c r="BD108" i="1"/>
  <c r="BF108" i="1"/>
  <c r="BJ108" i="1"/>
  <c r="K109" i="1"/>
  <c r="AL109" i="1" s="1"/>
  <c r="Z109" i="1"/>
  <c r="AB109" i="1"/>
  <c r="AC109" i="1"/>
  <c r="AF109" i="1"/>
  <c r="AG109" i="1"/>
  <c r="AH109" i="1"/>
  <c r="AJ109" i="1"/>
  <c r="AK109" i="1"/>
  <c r="AO109" i="1"/>
  <c r="I109" i="1" s="1"/>
  <c r="AP109" i="1"/>
  <c r="BD109" i="1"/>
  <c r="BF109" i="1"/>
  <c r="BH109" i="1"/>
  <c r="AD109" i="1" s="1"/>
  <c r="BJ109" i="1"/>
  <c r="K111" i="1"/>
  <c r="AL111" i="1" s="1"/>
  <c r="Z111" i="1"/>
  <c r="AB111" i="1"/>
  <c r="AC111" i="1"/>
  <c r="AF111" i="1"/>
  <c r="AG111" i="1"/>
  <c r="AH111" i="1"/>
  <c r="AJ111" i="1"/>
  <c r="AK111" i="1"/>
  <c r="AO111" i="1"/>
  <c r="AP111" i="1"/>
  <c r="BD111" i="1"/>
  <c r="BF111" i="1"/>
  <c r="BJ111" i="1"/>
  <c r="K112" i="1"/>
  <c r="AL112" i="1" s="1"/>
  <c r="Z112" i="1"/>
  <c r="AB112" i="1"/>
  <c r="AC112" i="1"/>
  <c r="AF112" i="1"/>
  <c r="AG112" i="1"/>
  <c r="AH112" i="1"/>
  <c r="AJ112" i="1"/>
  <c r="AK112" i="1"/>
  <c r="AO112" i="1"/>
  <c r="BH112" i="1" s="1"/>
  <c r="AD112" i="1" s="1"/>
  <c r="AP112" i="1"/>
  <c r="J112" i="1" s="1"/>
  <c r="BD112" i="1"/>
  <c r="BF112" i="1"/>
  <c r="BJ112" i="1"/>
  <c r="K113" i="1"/>
  <c r="AL113" i="1" s="1"/>
  <c r="AB113" i="1"/>
  <c r="AC113" i="1"/>
  <c r="AD113" i="1"/>
  <c r="AE113" i="1"/>
  <c r="AF113" i="1"/>
  <c r="AG113" i="1"/>
  <c r="AH113" i="1"/>
  <c r="AJ113" i="1"/>
  <c r="AK113" i="1"/>
  <c r="AO113" i="1"/>
  <c r="I113" i="1" s="1"/>
  <c r="AP113" i="1"/>
  <c r="BD113" i="1"/>
  <c r="BF113" i="1"/>
  <c r="BH113" i="1"/>
  <c r="BJ113" i="1"/>
  <c r="Z113" i="1" s="1"/>
  <c r="K115" i="1"/>
  <c r="AL115" i="1" s="1"/>
  <c r="Z115" i="1"/>
  <c r="AB115" i="1"/>
  <c r="AC115" i="1"/>
  <c r="AF115" i="1"/>
  <c r="AG115" i="1"/>
  <c r="AH115" i="1"/>
  <c r="AJ115" i="1"/>
  <c r="AK115" i="1"/>
  <c r="AO115" i="1"/>
  <c r="BH115" i="1" s="1"/>
  <c r="AD115" i="1" s="1"/>
  <c r="AP115" i="1"/>
  <c r="J115" i="1" s="1"/>
  <c r="BD115" i="1"/>
  <c r="BF115" i="1"/>
  <c r="BJ115" i="1"/>
  <c r="K116" i="1"/>
  <c r="AL116" i="1" s="1"/>
  <c r="Z116" i="1"/>
  <c r="AB116" i="1"/>
  <c r="AC116" i="1"/>
  <c r="AF116" i="1"/>
  <c r="AG116" i="1"/>
  <c r="AH116" i="1"/>
  <c r="AJ116" i="1"/>
  <c r="AK116" i="1"/>
  <c r="AO116" i="1"/>
  <c r="I116" i="1" s="1"/>
  <c r="AP116" i="1"/>
  <c r="BI116" i="1" s="1"/>
  <c r="AE116" i="1" s="1"/>
  <c r="BD116" i="1"/>
  <c r="BF116" i="1"/>
  <c r="BH116" i="1"/>
  <c r="AD116" i="1" s="1"/>
  <c r="BJ116" i="1"/>
  <c r="K117" i="1"/>
  <c r="AL117" i="1" s="1"/>
  <c r="Z117" i="1"/>
  <c r="AB117" i="1"/>
  <c r="AC117" i="1"/>
  <c r="AF117" i="1"/>
  <c r="AG117" i="1"/>
  <c r="AH117" i="1"/>
  <c r="AJ117" i="1"/>
  <c r="AK117" i="1"/>
  <c r="AO117" i="1"/>
  <c r="AP117" i="1"/>
  <c r="J117" i="1" s="1"/>
  <c r="BD117" i="1"/>
  <c r="BF117" i="1"/>
  <c r="BJ117" i="1"/>
  <c r="K118" i="1"/>
  <c r="AL118" i="1" s="1"/>
  <c r="AB118" i="1"/>
  <c r="AC118" i="1"/>
  <c r="AD118" i="1"/>
  <c r="AE118" i="1"/>
  <c r="AF118" i="1"/>
  <c r="AG118" i="1"/>
  <c r="AH118" i="1"/>
  <c r="AJ118" i="1"/>
  <c r="AK118" i="1"/>
  <c r="AO118" i="1"/>
  <c r="I118" i="1" s="1"/>
  <c r="AP118" i="1"/>
  <c r="BI118" i="1" s="1"/>
  <c r="BD118" i="1"/>
  <c r="BF118" i="1"/>
  <c r="BJ118" i="1"/>
  <c r="Z118" i="1" s="1"/>
  <c r="K120" i="1"/>
  <c r="AL120" i="1" s="1"/>
  <c r="Z120" i="1"/>
  <c r="AB120" i="1"/>
  <c r="AC120" i="1"/>
  <c r="AF120" i="1"/>
  <c r="AG120" i="1"/>
  <c r="AH120" i="1"/>
  <c r="AJ120" i="1"/>
  <c r="AK120" i="1"/>
  <c r="AO120" i="1"/>
  <c r="I120" i="1" s="1"/>
  <c r="AP120" i="1"/>
  <c r="J120" i="1" s="1"/>
  <c r="BD120" i="1"/>
  <c r="BF120" i="1"/>
  <c r="BH120" i="1"/>
  <c r="AD120" i="1" s="1"/>
  <c r="BI120" i="1"/>
  <c r="AE120" i="1" s="1"/>
  <c r="BJ120" i="1"/>
  <c r="K121" i="1"/>
  <c r="Z121" i="1"/>
  <c r="AB121" i="1"/>
  <c r="AC121" i="1"/>
  <c r="AF121" i="1"/>
  <c r="AG121" i="1"/>
  <c r="AH121" i="1"/>
  <c r="AJ121" i="1"/>
  <c r="AK121" i="1"/>
  <c r="AO121" i="1"/>
  <c r="AP121" i="1"/>
  <c r="J121" i="1" s="1"/>
  <c r="BD121" i="1"/>
  <c r="BF121" i="1"/>
  <c r="BJ121" i="1"/>
  <c r="K122" i="1"/>
  <c r="AL122" i="1" s="1"/>
  <c r="Z122" i="1"/>
  <c r="AB122" i="1"/>
  <c r="AC122" i="1"/>
  <c r="AF122" i="1"/>
  <c r="AG122" i="1"/>
  <c r="AH122" i="1"/>
  <c r="AJ122" i="1"/>
  <c r="AK122" i="1"/>
  <c r="AO122" i="1"/>
  <c r="AP122" i="1"/>
  <c r="J122" i="1" s="1"/>
  <c r="BD122" i="1"/>
  <c r="BF122" i="1"/>
  <c r="BJ122" i="1"/>
  <c r="K123" i="1"/>
  <c r="AL123" i="1" s="1"/>
  <c r="Z123" i="1"/>
  <c r="AB123" i="1"/>
  <c r="AC123" i="1"/>
  <c r="AF123" i="1"/>
  <c r="AG123" i="1"/>
  <c r="AH123" i="1"/>
  <c r="AJ123" i="1"/>
  <c r="AK123" i="1"/>
  <c r="AO123" i="1"/>
  <c r="AP123" i="1"/>
  <c r="BD123" i="1"/>
  <c r="BF123" i="1"/>
  <c r="BJ123" i="1"/>
  <c r="K124" i="1"/>
  <c r="AL124" i="1" s="1"/>
  <c r="Z124" i="1"/>
  <c r="AB124" i="1"/>
  <c r="AC124" i="1"/>
  <c r="AF124" i="1"/>
  <c r="AG124" i="1"/>
  <c r="AH124" i="1"/>
  <c r="AJ124" i="1"/>
  <c r="AK124" i="1"/>
  <c r="AO124" i="1"/>
  <c r="AW124" i="1" s="1"/>
  <c r="AP124" i="1"/>
  <c r="J124" i="1" s="1"/>
  <c r="BD124" i="1"/>
  <c r="BF124" i="1"/>
  <c r="BH124" i="1"/>
  <c r="AD124" i="1" s="1"/>
  <c r="BJ124" i="1"/>
  <c r="K125" i="1"/>
  <c r="AL125" i="1" s="1"/>
  <c r="Z125" i="1"/>
  <c r="AB125" i="1"/>
  <c r="AC125" i="1"/>
  <c r="AF125" i="1"/>
  <c r="AG125" i="1"/>
  <c r="AH125" i="1"/>
  <c r="AJ125" i="1"/>
  <c r="AK125" i="1"/>
  <c r="AO125" i="1"/>
  <c r="I125" i="1" s="1"/>
  <c r="AP125" i="1"/>
  <c r="J125" i="1" s="1"/>
  <c r="BD125" i="1"/>
  <c r="BF125" i="1"/>
  <c r="BJ125" i="1"/>
  <c r="K126" i="1"/>
  <c r="AL126" i="1" s="1"/>
  <c r="Z126" i="1"/>
  <c r="AB126" i="1"/>
  <c r="AC126" i="1"/>
  <c r="AF126" i="1"/>
  <c r="AG126" i="1"/>
  <c r="AH126" i="1"/>
  <c r="AJ126" i="1"/>
  <c r="AK126" i="1"/>
  <c r="AO126" i="1"/>
  <c r="I126" i="1" s="1"/>
  <c r="AP126" i="1"/>
  <c r="AX126" i="1" s="1"/>
  <c r="BD126" i="1"/>
  <c r="BF126" i="1"/>
  <c r="BJ126" i="1"/>
  <c r="K127" i="1"/>
  <c r="AL127" i="1" s="1"/>
  <c r="Z127" i="1"/>
  <c r="AB127" i="1"/>
  <c r="AC127" i="1"/>
  <c r="AF127" i="1"/>
  <c r="AG127" i="1"/>
  <c r="AH127" i="1"/>
  <c r="AJ127" i="1"/>
  <c r="AK127" i="1"/>
  <c r="AO127" i="1"/>
  <c r="AP127" i="1"/>
  <c r="J127" i="1" s="1"/>
  <c r="BD127" i="1"/>
  <c r="BF127" i="1"/>
  <c r="BJ127" i="1"/>
  <c r="K128" i="1"/>
  <c r="AL128" i="1" s="1"/>
  <c r="Z128" i="1"/>
  <c r="AB128" i="1"/>
  <c r="AC128" i="1"/>
  <c r="AF128" i="1"/>
  <c r="AG128" i="1"/>
  <c r="AH128" i="1"/>
  <c r="AJ128" i="1"/>
  <c r="AK128" i="1"/>
  <c r="AO128" i="1"/>
  <c r="I128" i="1" s="1"/>
  <c r="AP128" i="1"/>
  <c r="J128" i="1" s="1"/>
  <c r="BD128" i="1"/>
  <c r="BF128" i="1"/>
  <c r="BJ128" i="1"/>
  <c r="K129" i="1"/>
  <c r="AL129" i="1" s="1"/>
  <c r="Z129" i="1"/>
  <c r="AB129" i="1"/>
  <c r="AC129" i="1"/>
  <c r="AF129" i="1"/>
  <c r="AG129" i="1"/>
  <c r="AH129" i="1"/>
  <c r="AJ129" i="1"/>
  <c r="AK129" i="1"/>
  <c r="AO129" i="1"/>
  <c r="I129" i="1" s="1"/>
  <c r="AP129" i="1"/>
  <c r="BD129" i="1"/>
  <c r="BF129" i="1"/>
  <c r="BH129" i="1"/>
  <c r="AD129" i="1" s="1"/>
  <c r="BJ129" i="1"/>
  <c r="K130" i="1"/>
  <c r="AL130" i="1" s="1"/>
  <c r="Z130" i="1"/>
  <c r="AB130" i="1"/>
  <c r="AC130" i="1"/>
  <c r="AF130" i="1"/>
  <c r="AG130" i="1"/>
  <c r="AH130" i="1"/>
  <c r="AJ130" i="1"/>
  <c r="AK130" i="1"/>
  <c r="AO130" i="1"/>
  <c r="I130" i="1" s="1"/>
  <c r="AP130" i="1"/>
  <c r="J130" i="1" s="1"/>
  <c r="BD130" i="1"/>
  <c r="BF130" i="1"/>
  <c r="BH130" i="1"/>
  <c r="AD130" i="1" s="1"/>
  <c r="BJ130" i="1"/>
  <c r="K131" i="1"/>
  <c r="AL131" i="1" s="1"/>
  <c r="AB131" i="1"/>
  <c r="AC131" i="1"/>
  <c r="AD131" i="1"/>
  <c r="AE131" i="1"/>
  <c r="AF131" i="1"/>
  <c r="AG131" i="1"/>
  <c r="AH131" i="1"/>
  <c r="AJ131" i="1"/>
  <c r="AK131" i="1"/>
  <c r="AO131" i="1"/>
  <c r="AW131" i="1" s="1"/>
  <c r="AP131" i="1"/>
  <c r="BD131" i="1"/>
  <c r="BF131" i="1"/>
  <c r="BJ131" i="1"/>
  <c r="Z131" i="1" s="1"/>
  <c r="K133" i="1"/>
  <c r="Z133" i="1"/>
  <c r="AB133" i="1"/>
  <c r="AC133" i="1"/>
  <c r="AF133" i="1"/>
  <c r="AG133" i="1"/>
  <c r="AH133" i="1"/>
  <c r="AJ133" i="1"/>
  <c r="AK133" i="1"/>
  <c r="AO133" i="1"/>
  <c r="I133" i="1" s="1"/>
  <c r="AP133" i="1"/>
  <c r="J133" i="1" s="1"/>
  <c r="BD133" i="1"/>
  <c r="BF133" i="1"/>
  <c r="BJ133" i="1"/>
  <c r="K134" i="1"/>
  <c r="AL134" i="1" s="1"/>
  <c r="Z134" i="1"/>
  <c r="AB134" i="1"/>
  <c r="AC134" i="1"/>
  <c r="AF134" i="1"/>
  <c r="AG134" i="1"/>
  <c r="AH134" i="1"/>
  <c r="AJ134" i="1"/>
  <c r="AK134" i="1"/>
  <c r="AO134" i="1"/>
  <c r="AP134" i="1"/>
  <c r="BD134" i="1"/>
  <c r="BF134" i="1"/>
  <c r="BJ134" i="1"/>
  <c r="K135" i="1"/>
  <c r="AL135" i="1" s="1"/>
  <c r="AB135" i="1"/>
  <c r="AC135" i="1"/>
  <c r="AD135" i="1"/>
  <c r="AE135" i="1"/>
  <c r="AF135" i="1"/>
  <c r="AG135" i="1"/>
  <c r="AH135" i="1"/>
  <c r="AJ135" i="1"/>
  <c r="AK135" i="1"/>
  <c r="AO135" i="1"/>
  <c r="AW135" i="1" s="1"/>
  <c r="AP135" i="1"/>
  <c r="BD135" i="1"/>
  <c r="BF135" i="1"/>
  <c r="BH135" i="1"/>
  <c r="BJ135" i="1"/>
  <c r="Z135" i="1" s="1"/>
  <c r="K137" i="1"/>
  <c r="AL137" i="1" s="1"/>
  <c r="Z137" i="1"/>
  <c r="AB137" i="1"/>
  <c r="AC137" i="1"/>
  <c r="AF137" i="1"/>
  <c r="AG137" i="1"/>
  <c r="AH137" i="1"/>
  <c r="AJ137" i="1"/>
  <c r="AK137" i="1"/>
  <c r="AO137" i="1"/>
  <c r="AP137" i="1"/>
  <c r="BD137" i="1"/>
  <c r="BF137" i="1"/>
  <c r="BJ137" i="1"/>
  <c r="K138" i="1"/>
  <c r="AL138" i="1" s="1"/>
  <c r="Z138" i="1"/>
  <c r="AB138" i="1"/>
  <c r="AC138" i="1"/>
  <c r="AF138" i="1"/>
  <c r="AG138" i="1"/>
  <c r="AH138" i="1"/>
  <c r="AJ138" i="1"/>
  <c r="AK138" i="1"/>
  <c r="AO138" i="1"/>
  <c r="BH138" i="1" s="1"/>
  <c r="AD138" i="1" s="1"/>
  <c r="AP138" i="1"/>
  <c r="BD138" i="1"/>
  <c r="BF138" i="1"/>
  <c r="BJ138" i="1"/>
  <c r="K139" i="1"/>
  <c r="AL139" i="1" s="1"/>
  <c r="Z139" i="1"/>
  <c r="AB139" i="1"/>
  <c r="AC139" i="1"/>
  <c r="AF139" i="1"/>
  <c r="AG139" i="1"/>
  <c r="AH139" i="1"/>
  <c r="AJ139" i="1"/>
  <c r="AK139" i="1"/>
  <c r="AO139" i="1"/>
  <c r="I139" i="1" s="1"/>
  <c r="AP139" i="1"/>
  <c r="BD139" i="1"/>
  <c r="BF139" i="1"/>
  <c r="BH139" i="1"/>
  <c r="AD139" i="1" s="1"/>
  <c r="BJ139" i="1"/>
  <c r="K140" i="1"/>
  <c r="Z140" i="1"/>
  <c r="AB140" i="1"/>
  <c r="AC140" i="1"/>
  <c r="AF140" i="1"/>
  <c r="AG140" i="1"/>
  <c r="AH140" i="1"/>
  <c r="AJ140" i="1"/>
  <c r="AK140" i="1"/>
  <c r="AO140" i="1"/>
  <c r="AP140" i="1"/>
  <c r="BD140" i="1"/>
  <c r="BF140" i="1"/>
  <c r="BJ140" i="1"/>
  <c r="K141" i="1"/>
  <c r="AL141" i="1" s="1"/>
  <c r="Z141" i="1"/>
  <c r="AB141" i="1"/>
  <c r="AC141" i="1"/>
  <c r="AF141" i="1"/>
  <c r="AG141" i="1"/>
  <c r="AH141" i="1"/>
  <c r="AJ141" i="1"/>
  <c r="AK141" i="1"/>
  <c r="AO141" i="1"/>
  <c r="I141" i="1" s="1"/>
  <c r="AP141" i="1"/>
  <c r="AX141" i="1" s="1"/>
  <c r="BD141" i="1"/>
  <c r="BF141" i="1"/>
  <c r="BJ141" i="1"/>
  <c r="K142" i="1"/>
  <c r="AL142" i="1" s="1"/>
  <c r="Z142" i="1"/>
  <c r="AB142" i="1"/>
  <c r="AC142" i="1"/>
  <c r="AF142" i="1"/>
  <c r="AG142" i="1"/>
  <c r="AH142" i="1"/>
  <c r="AJ142" i="1"/>
  <c r="AK142" i="1"/>
  <c r="AO142" i="1"/>
  <c r="AP142" i="1"/>
  <c r="J142" i="1" s="1"/>
  <c r="BD142" i="1"/>
  <c r="BF142" i="1"/>
  <c r="BJ142" i="1"/>
  <c r="K143" i="1"/>
  <c r="AL143" i="1" s="1"/>
  <c r="Z143" i="1"/>
  <c r="AB143" i="1"/>
  <c r="AC143" i="1"/>
  <c r="AF143" i="1"/>
  <c r="AG143" i="1"/>
  <c r="AH143" i="1"/>
  <c r="AJ143" i="1"/>
  <c r="AK143" i="1"/>
  <c r="AO143" i="1"/>
  <c r="AW143" i="1" s="1"/>
  <c r="AP143" i="1"/>
  <c r="BD143" i="1"/>
  <c r="BF143" i="1"/>
  <c r="BJ143" i="1"/>
  <c r="K144" i="1"/>
  <c r="AL144" i="1" s="1"/>
  <c r="Z144" i="1"/>
  <c r="AB144" i="1"/>
  <c r="AC144" i="1"/>
  <c r="AF144" i="1"/>
  <c r="AG144" i="1"/>
  <c r="AH144" i="1"/>
  <c r="AJ144" i="1"/>
  <c r="AK144" i="1"/>
  <c r="AO144" i="1"/>
  <c r="AP144" i="1"/>
  <c r="J144" i="1" s="1"/>
  <c r="BD144" i="1"/>
  <c r="BF144" i="1"/>
  <c r="BJ144" i="1"/>
  <c r="K145" i="1"/>
  <c r="AL145" i="1" s="1"/>
  <c r="Z145" i="1"/>
  <c r="AB145" i="1"/>
  <c r="AC145" i="1"/>
  <c r="AF145" i="1"/>
  <c r="AG145" i="1"/>
  <c r="AH145" i="1"/>
  <c r="AJ145" i="1"/>
  <c r="AK145" i="1"/>
  <c r="AO145" i="1"/>
  <c r="AW145" i="1" s="1"/>
  <c r="AV145" i="1" s="1"/>
  <c r="AP145" i="1"/>
  <c r="AX145" i="1" s="1"/>
  <c r="BD145" i="1"/>
  <c r="BF145" i="1"/>
  <c r="BJ145" i="1"/>
  <c r="K146" i="1"/>
  <c r="AL146" i="1" s="1"/>
  <c r="Z146" i="1"/>
  <c r="AB146" i="1"/>
  <c r="AC146" i="1"/>
  <c r="AF146" i="1"/>
  <c r="AG146" i="1"/>
  <c r="AH146" i="1"/>
  <c r="AJ146" i="1"/>
  <c r="AK146" i="1"/>
  <c r="AO146" i="1"/>
  <c r="AP146" i="1"/>
  <c r="J146" i="1" s="1"/>
  <c r="BD146" i="1"/>
  <c r="BF146" i="1"/>
  <c r="BJ146" i="1"/>
  <c r="K147" i="1"/>
  <c r="AL147" i="1" s="1"/>
  <c r="AB147" i="1"/>
  <c r="AC147" i="1"/>
  <c r="AD147" i="1"/>
  <c r="AE147" i="1"/>
  <c r="AF147" i="1"/>
  <c r="AG147" i="1"/>
  <c r="AH147" i="1"/>
  <c r="AJ147" i="1"/>
  <c r="AK147" i="1"/>
  <c r="AO147" i="1"/>
  <c r="I147" i="1" s="1"/>
  <c r="AP147" i="1"/>
  <c r="BI147" i="1" s="1"/>
  <c r="BD147" i="1"/>
  <c r="BF147" i="1"/>
  <c r="BJ147" i="1"/>
  <c r="Z147" i="1" s="1"/>
  <c r="K149" i="1"/>
  <c r="Z149" i="1"/>
  <c r="AB149" i="1"/>
  <c r="AC149" i="1"/>
  <c r="AF149" i="1"/>
  <c r="AG149" i="1"/>
  <c r="AH149" i="1"/>
  <c r="AJ149" i="1"/>
  <c r="AK149" i="1"/>
  <c r="AO149" i="1"/>
  <c r="I149" i="1" s="1"/>
  <c r="AP149" i="1"/>
  <c r="BD149" i="1"/>
  <c r="BF149" i="1"/>
  <c r="BH149" i="1"/>
  <c r="AD149" i="1" s="1"/>
  <c r="BJ149" i="1"/>
  <c r="K150" i="1"/>
  <c r="AL150" i="1" s="1"/>
  <c r="Z150" i="1"/>
  <c r="AB150" i="1"/>
  <c r="AC150" i="1"/>
  <c r="AF150" i="1"/>
  <c r="AG150" i="1"/>
  <c r="AH150" i="1"/>
  <c r="AJ150" i="1"/>
  <c r="AK150" i="1"/>
  <c r="AO150" i="1"/>
  <c r="I150" i="1" s="1"/>
  <c r="AP150" i="1"/>
  <c r="J150" i="1" s="1"/>
  <c r="AW150" i="1"/>
  <c r="BD150" i="1"/>
  <c r="BF150" i="1"/>
  <c r="BJ150" i="1"/>
  <c r="K151" i="1"/>
  <c r="AL151" i="1" s="1"/>
  <c r="AB151" i="1"/>
  <c r="AC151" i="1"/>
  <c r="AD151" i="1"/>
  <c r="AE151" i="1"/>
  <c r="AF151" i="1"/>
  <c r="AG151" i="1"/>
  <c r="AH151" i="1"/>
  <c r="AJ151" i="1"/>
  <c r="AK151" i="1"/>
  <c r="AO151" i="1"/>
  <c r="I151" i="1" s="1"/>
  <c r="AP151" i="1"/>
  <c r="BD151" i="1"/>
  <c r="BF151" i="1"/>
  <c r="BH151" i="1"/>
  <c r="BJ151" i="1"/>
  <c r="Z151" i="1" s="1"/>
  <c r="K153" i="1"/>
  <c r="AL153" i="1" s="1"/>
  <c r="Z153" i="1"/>
  <c r="AB153" i="1"/>
  <c r="AC153" i="1"/>
  <c r="AF153" i="1"/>
  <c r="AG153" i="1"/>
  <c r="AH153" i="1"/>
  <c r="AJ153" i="1"/>
  <c r="AK153" i="1"/>
  <c r="AO153" i="1"/>
  <c r="I153" i="1" s="1"/>
  <c r="AP153" i="1"/>
  <c r="BD153" i="1"/>
  <c r="BF153" i="1"/>
  <c r="BJ153" i="1"/>
  <c r="K154" i="1"/>
  <c r="AL154" i="1" s="1"/>
  <c r="Z154" i="1"/>
  <c r="AB154" i="1"/>
  <c r="AC154" i="1"/>
  <c r="AF154" i="1"/>
  <c r="AG154" i="1"/>
  <c r="AH154" i="1"/>
  <c r="AJ154" i="1"/>
  <c r="AK154" i="1"/>
  <c r="AO154" i="1"/>
  <c r="AW154" i="1" s="1"/>
  <c r="AP154" i="1"/>
  <c r="BI154" i="1" s="1"/>
  <c r="AE154" i="1" s="1"/>
  <c r="BD154" i="1"/>
  <c r="BF154" i="1"/>
  <c r="BH154" i="1"/>
  <c r="AD154" i="1" s="1"/>
  <c r="BJ154" i="1"/>
  <c r="K156" i="1"/>
  <c r="AL156" i="1" s="1"/>
  <c r="Z156" i="1"/>
  <c r="AB156" i="1"/>
  <c r="AC156" i="1"/>
  <c r="AF156" i="1"/>
  <c r="AG156" i="1"/>
  <c r="AH156" i="1"/>
  <c r="AJ156" i="1"/>
  <c r="AK156" i="1"/>
  <c r="AO156" i="1"/>
  <c r="I156" i="1" s="1"/>
  <c r="AP156" i="1"/>
  <c r="AX156" i="1" s="1"/>
  <c r="BD156" i="1"/>
  <c r="BF156" i="1"/>
  <c r="BH156" i="1"/>
  <c r="AD156" i="1" s="1"/>
  <c r="BJ156" i="1"/>
  <c r="K158" i="1"/>
  <c r="AL158" i="1" s="1"/>
  <c r="AB158" i="1"/>
  <c r="AC158" i="1"/>
  <c r="AD158" i="1"/>
  <c r="AE158" i="1"/>
  <c r="AF158" i="1"/>
  <c r="AG158" i="1"/>
  <c r="AH158" i="1"/>
  <c r="AJ158" i="1"/>
  <c r="AK158" i="1"/>
  <c r="AO158" i="1"/>
  <c r="I158" i="1" s="1"/>
  <c r="AP158" i="1"/>
  <c r="BI158" i="1" s="1"/>
  <c r="BD158" i="1"/>
  <c r="BF158" i="1"/>
  <c r="BJ158" i="1"/>
  <c r="Z158" i="1" s="1"/>
  <c r="K160" i="1"/>
  <c r="AL160" i="1" s="1"/>
  <c r="Z160" i="1"/>
  <c r="AB160" i="1"/>
  <c r="AC160" i="1"/>
  <c r="AF160" i="1"/>
  <c r="AG160" i="1"/>
  <c r="AH160" i="1"/>
  <c r="AJ160" i="1"/>
  <c r="AK160" i="1"/>
  <c r="AO160" i="1"/>
  <c r="I160" i="1" s="1"/>
  <c r="AP160" i="1"/>
  <c r="BD160" i="1"/>
  <c r="BF160" i="1"/>
  <c r="BH160" i="1"/>
  <c r="AD160" i="1" s="1"/>
  <c r="BJ160" i="1"/>
  <c r="K161" i="1"/>
  <c r="AL161" i="1" s="1"/>
  <c r="Z161" i="1"/>
  <c r="AB161" i="1"/>
  <c r="AC161" i="1"/>
  <c r="AF161" i="1"/>
  <c r="AG161" i="1"/>
  <c r="AH161" i="1"/>
  <c r="AJ161" i="1"/>
  <c r="AK161" i="1"/>
  <c r="AO161" i="1"/>
  <c r="I161" i="1" s="1"/>
  <c r="AP161" i="1"/>
  <c r="BI161" i="1" s="1"/>
  <c r="AE161" i="1" s="1"/>
  <c r="BD161" i="1"/>
  <c r="BF161" i="1"/>
  <c r="BJ161" i="1"/>
  <c r="K162" i="1"/>
  <c r="AL162" i="1" s="1"/>
  <c r="Z162" i="1"/>
  <c r="AB162" i="1"/>
  <c r="AC162" i="1"/>
  <c r="AF162" i="1"/>
  <c r="AG162" i="1"/>
  <c r="AH162" i="1"/>
  <c r="AJ162" i="1"/>
  <c r="AK162" i="1"/>
  <c r="AO162" i="1"/>
  <c r="I162" i="1" s="1"/>
  <c r="AP162" i="1"/>
  <c r="J162" i="1" s="1"/>
  <c r="BD162" i="1"/>
  <c r="BF162" i="1"/>
  <c r="BH162" i="1"/>
  <c r="AD162" i="1" s="1"/>
  <c r="BJ162" i="1"/>
  <c r="K163" i="1"/>
  <c r="AL163" i="1" s="1"/>
  <c r="Z163" i="1"/>
  <c r="AB163" i="1"/>
  <c r="AC163" i="1"/>
  <c r="AF163" i="1"/>
  <c r="AG163" i="1"/>
  <c r="AH163" i="1"/>
  <c r="AJ163" i="1"/>
  <c r="AK163" i="1"/>
  <c r="AO163" i="1"/>
  <c r="BH163" i="1" s="1"/>
  <c r="AD163" i="1" s="1"/>
  <c r="AP163" i="1"/>
  <c r="BI163" i="1" s="1"/>
  <c r="AE163" i="1" s="1"/>
  <c r="BD163" i="1"/>
  <c r="BF163" i="1"/>
  <c r="BJ163" i="1"/>
  <c r="K164" i="1"/>
  <c r="AL164" i="1" s="1"/>
  <c r="Z164" i="1"/>
  <c r="AB164" i="1"/>
  <c r="AC164" i="1"/>
  <c r="AF164" i="1"/>
  <c r="AG164" i="1"/>
  <c r="AH164" i="1"/>
  <c r="AJ164" i="1"/>
  <c r="AK164" i="1"/>
  <c r="AO164" i="1"/>
  <c r="BH164" i="1" s="1"/>
  <c r="AD164" i="1" s="1"/>
  <c r="AP164" i="1"/>
  <c r="J164" i="1" s="1"/>
  <c r="BD164" i="1"/>
  <c r="BF164" i="1"/>
  <c r="BJ164" i="1"/>
  <c r="K165" i="1"/>
  <c r="AL165" i="1" s="1"/>
  <c r="Z165" i="1"/>
  <c r="AB165" i="1"/>
  <c r="AC165" i="1"/>
  <c r="AF165" i="1"/>
  <c r="AG165" i="1"/>
  <c r="AH165" i="1"/>
  <c r="AJ165" i="1"/>
  <c r="AK165" i="1"/>
  <c r="AO165" i="1"/>
  <c r="AW165" i="1" s="1"/>
  <c r="AP165" i="1"/>
  <c r="J165" i="1" s="1"/>
  <c r="BD165" i="1"/>
  <c r="BF165" i="1"/>
  <c r="BH165" i="1"/>
  <c r="AD165" i="1" s="1"/>
  <c r="BJ165" i="1"/>
  <c r="K166" i="1"/>
  <c r="AL166" i="1" s="1"/>
  <c r="AB166" i="1"/>
  <c r="AC166" i="1"/>
  <c r="AD166" i="1"/>
  <c r="AE166" i="1"/>
  <c r="AF166" i="1"/>
  <c r="AG166" i="1"/>
  <c r="AH166" i="1"/>
  <c r="AJ166" i="1"/>
  <c r="AK166" i="1"/>
  <c r="AO166" i="1"/>
  <c r="I166" i="1" s="1"/>
  <c r="AP166" i="1"/>
  <c r="J166" i="1" s="1"/>
  <c r="BD166" i="1"/>
  <c r="BF166" i="1"/>
  <c r="BJ166" i="1"/>
  <c r="Z166" i="1" s="1"/>
  <c r="K168" i="1"/>
  <c r="Z168" i="1"/>
  <c r="AB168" i="1"/>
  <c r="AC168" i="1"/>
  <c r="AF168" i="1"/>
  <c r="AG168" i="1"/>
  <c r="AH168" i="1"/>
  <c r="AJ168" i="1"/>
  <c r="AK168" i="1"/>
  <c r="AO168" i="1"/>
  <c r="AP168" i="1"/>
  <c r="J168" i="1" s="1"/>
  <c r="BD168" i="1"/>
  <c r="BF168" i="1"/>
  <c r="BJ168" i="1"/>
  <c r="K169" i="1"/>
  <c r="AL169" i="1" s="1"/>
  <c r="Z169" i="1"/>
  <c r="AB169" i="1"/>
  <c r="AC169" i="1"/>
  <c r="AF169" i="1"/>
  <c r="AG169" i="1"/>
  <c r="AH169" i="1"/>
  <c r="AJ169" i="1"/>
  <c r="AK169" i="1"/>
  <c r="AO169" i="1"/>
  <c r="AW169" i="1" s="1"/>
  <c r="AP169" i="1"/>
  <c r="J169" i="1" s="1"/>
  <c r="BD169" i="1"/>
  <c r="BF169" i="1"/>
  <c r="BJ169" i="1"/>
  <c r="K170" i="1"/>
  <c r="AL170" i="1" s="1"/>
  <c r="Z170" i="1"/>
  <c r="AB170" i="1"/>
  <c r="AC170" i="1"/>
  <c r="AF170" i="1"/>
  <c r="AG170" i="1"/>
  <c r="AH170" i="1"/>
  <c r="AJ170" i="1"/>
  <c r="AK170" i="1"/>
  <c r="AO170" i="1"/>
  <c r="BH170" i="1" s="1"/>
  <c r="AD170" i="1" s="1"/>
  <c r="AP170" i="1"/>
  <c r="BD170" i="1"/>
  <c r="BF170" i="1"/>
  <c r="BJ170" i="1"/>
  <c r="K172" i="1"/>
  <c r="AL172" i="1" s="1"/>
  <c r="Z172" i="1"/>
  <c r="AB172" i="1"/>
  <c r="AC172" i="1"/>
  <c r="AF172" i="1"/>
  <c r="AG172" i="1"/>
  <c r="AH172" i="1"/>
  <c r="AJ172" i="1"/>
  <c r="AK172" i="1"/>
  <c r="AO172" i="1"/>
  <c r="I172" i="1" s="1"/>
  <c r="AP172" i="1"/>
  <c r="BI172" i="1" s="1"/>
  <c r="AE172" i="1" s="1"/>
  <c r="BD172" i="1"/>
  <c r="BF172" i="1"/>
  <c r="BJ172" i="1"/>
  <c r="K173" i="1"/>
  <c r="AL173" i="1" s="1"/>
  <c r="Z173" i="1"/>
  <c r="AB173" i="1"/>
  <c r="AC173" i="1"/>
  <c r="AF173" i="1"/>
  <c r="AG173" i="1"/>
  <c r="AH173" i="1"/>
  <c r="AJ173" i="1"/>
  <c r="AK173" i="1"/>
  <c r="AO173" i="1"/>
  <c r="I173" i="1" s="1"/>
  <c r="AP173" i="1"/>
  <c r="J173" i="1" s="1"/>
  <c r="BD173" i="1"/>
  <c r="BF173" i="1"/>
  <c r="BJ173" i="1"/>
  <c r="K175" i="1"/>
  <c r="Z175" i="1"/>
  <c r="AB175" i="1"/>
  <c r="AC175" i="1"/>
  <c r="AF175" i="1"/>
  <c r="AG175" i="1"/>
  <c r="AH175" i="1"/>
  <c r="AJ175" i="1"/>
  <c r="AK175" i="1"/>
  <c r="AO175" i="1"/>
  <c r="I175" i="1" s="1"/>
  <c r="AP175" i="1"/>
  <c r="BD175" i="1"/>
  <c r="BF175" i="1"/>
  <c r="BJ175" i="1"/>
  <c r="K177" i="1"/>
  <c r="AL177" i="1" s="1"/>
  <c r="AB177" i="1"/>
  <c r="AC177" i="1"/>
  <c r="AD177" i="1"/>
  <c r="AE177" i="1"/>
  <c r="AF177" i="1"/>
  <c r="AG177" i="1"/>
  <c r="AH177" i="1"/>
  <c r="AJ177" i="1"/>
  <c r="AK177" i="1"/>
  <c r="AO177" i="1"/>
  <c r="I177" i="1" s="1"/>
  <c r="AP177" i="1"/>
  <c r="J177" i="1" s="1"/>
  <c r="BD177" i="1"/>
  <c r="BF177" i="1"/>
  <c r="BJ177" i="1"/>
  <c r="Z177" i="1" s="1"/>
  <c r="K179" i="1"/>
  <c r="Z179" i="1"/>
  <c r="AD179" i="1"/>
  <c r="AE179" i="1"/>
  <c r="AF179" i="1"/>
  <c r="AG179" i="1"/>
  <c r="AH179" i="1"/>
  <c r="AJ179" i="1"/>
  <c r="AK179" i="1"/>
  <c r="AO179" i="1"/>
  <c r="I179" i="1" s="1"/>
  <c r="AP179" i="1"/>
  <c r="BD179" i="1"/>
  <c r="BF179" i="1"/>
  <c r="BH179" i="1"/>
  <c r="AB179" i="1" s="1"/>
  <c r="BJ179" i="1"/>
  <c r="K180" i="1"/>
  <c r="AL180" i="1" s="1"/>
  <c r="Z180" i="1"/>
  <c r="AD180" i="1"/>
  <c r="AE180" i="1"/>
  <c r="AF180" i="1"/>
  <c r="AG180" i="1"/>
  <c r="AH180" i="1"/>
  <c r="AJ180" i="1"/>
  <c r="AK180" i="1"/>
  <c r="AO180" i="1"/>
  <c r="BH180" i="1" s="1"/>
  <c r="AB180" i="1" s="1"/>
  <c r="AP180" i="1"/>
  <c r="BI180" i="1" s="1"/>
  <c r="AC180" i="1" s="1"/>
  <c r="BD180" i="1"/>
  <c r="BF180" i="1"/>
  <c r="BJ180" i="1"/>
  <c r="K181" i="1"/>
  <c r="AL181" i="1" s="1"/>
  <c r="Z181" i="1"/>
  <c r="AD181" i="1"/>
  <c r="AE181" i="1"/>
  <c r="AF181" i="1"/>
  <c r="AG181" i="1"/>
  <c r="AH181" i="1"/>
  <c r="AJ181" i="1"/>
  <c r="AK181" i="1"/>
  <c r="AO181" i="1"/>
  <c r="I181" i="1" s="1"/>
  <c r="AP181" i="1"/>
  <c r="BD181" i="1"/>
  <c r="BF181" i="1"/>
  <c r="BJ181" i="1"/>
  <c r="K183" i="1"/>
  <c r="Z183" i="1"/>
  <c r="AD183" i="1"/>
  <c r="AE183" i="1"/>
  <c r="AF183" i="1"/>
  <c r="AG183" i="1"/>
  <c r="AH183" i="1"/>
  <c r="AJ183" i="1"/>
  <c r="AK183" i="1"/>
  <c r="AO183" i="1"/>
  <c r="AP183" i="1"/>
  <c r="BD183" i="1"/>
  <c r="BF183" i="1"/>
  <c r="BJ183" i="1"/>
  <c r="K185" i="1"/>
  <c r="AL185" i="1" s="1"/>
  <c r="Z185" i="1"/>
  <c r="AD185" i="1"/>
  <c r="AE185" i="1"/>
  <c r="AF185" i="1"/>
  <c r="AG185" i="1"/>
  <c r="AH185" i="1"/>
  <c r="AJ185" i="1"/>
  <c r="AK185" i="1"/>
  <c r="AO185" i="1"/>
  <c r="BH185" i="1" s="1"/>
  <c r="AB185" i="1" s="1"/>
  <c r="AP185" i="1"/>
  <c r="BD185" i="1"/>
  <c r="BF185" i="1"/>
  <c r="BJ185" i="1"/>
  <c r="K187" i="1"/>
  <c r="AL187" i="1" s="1"/>
  <c r="Z187" i="1"/>
  <c r="AD187" i="1"/>
  <c r="AE187" i="1"/>
  <c r="AF187" i="1"/>
  <c r="AG187" i="1"/>
  <c r="AH187" i="1"/>
  <c r="AJ187" i="1"/>
  <c r="AK187" i="1"/>
  <c r="AO187" i="1"/>
  <c r="I187" i="1" s="1"/>
  <c r="AP187" i="1"/>
  <c r="BI187" i="1" s="1"/>
  <c r="AC187" i="1" s="1"/>
  <c r="BD187" i="1"/>
  <c r="BF187" i="1"/>
  <c r="BJ187" i="1"/>
  <c r="K190" i="1"/>
  <c r="AL190" i="1" s="1"/>
  <c r="Z190" i="1"/>
  <c r="AD190" i="1"/>
  <c r="AE190" i="1"/>
  <c r="AF190" i="1"/>
  <c r="AG190" i="1"/>
  <c r="AH190" i="1"/>
  <c r="AJ190" i="1"/>
  <c r="AK190" i="1"/>
  <c r="AO190" i="1"/>
  <c r="AP190" i="1"/>
  <c r="BD190" i="1"/>
  <c r="BF190" i="1"/>
  <c r="BH190" i="1"/>
  <c r="AB190" i="1" s="1"/>
  <c r="BJ190" i="1"/>
  <c r="K191" i="1"/>
  <c r="Z191" i="1"/>
  <c r="AD191" i="1"/>
  <c r="AE191" i="1"/>
  <c r="AF191" i="1"/>
  <c r="AG191" i="1"/>
  <c r="AH191" i="1"/>
  <c r="AJ191" i="1"/>
  <c r="AK191" i="1"/>
  <c r="AL191" i="1"/>
  <c r="AO191" i="1"/>
  <c r="I191" i="1" s="1"/>
  <c r="AP191" i="1"/>
  <c r="J191" i="1" s="1"/>
  <c r="BD191" i="1"/>
  <c r="BF191" i="1"/>
  <c r="BJ191" i="1"/>
  <c r="K192" i="1"/>
  <c r="AL192" i="1" s="1"/>
  <c r="Z192" i="1"/>
  <c r="AD192" i="1"/>
  <c r="AE192" i="1"/>
  <c r="AF192" i="1"/>
  <c r="AG192" i="1"/>
  <c r="AH192" i="1"/>
  <c r="AJ192" i="1"/>
  <c r="AK192" i="1"/>
  <c r="AO192" i="1"/>
  <c r="I192" i="1" s="1"/>
  <c r="AP192" i="1"/>
  <c r="AX192" i="1" s="1"/>
  <c r="BD192" i="1"/>
  <c r="BF192" i="1"/>
  <c r="BH192" i="1"/>
  <c r="AB192" i="1" s="1"/>
  <c r="BJ192" i="1"/>
  <c r="K193" i="1"/>
  <c r="AL193" i="1" s="1"/>
  <c r="Z193" i="1"/>
  <c r="AD193" i="1"/>
  <c r="AE193" i="1"/>
  <c r="AF193" i="1"/>
  <c r="AG193" i="1"/>
  <c r="AH193" i="1"/>
  <c r="AJ193" i="1"/>
  <c r="AK193" i="1"/>
  <c r="AO193" i="1"/>
  <c r="AW193" i="1" s="1"/>
  <c r="AP193" i="1"/>
  <c r="AX193" i="1" s="1"/>
  <c r="BD193" i="1"/>
  <c r="BF193" i="1"/>
  <c r="BJ193" i="1"/>
  <c r="K194" i="1"/>
  <c r="AL194" i="1" s="1"/>
  <c r="Z194" i="1"/>
  <c r="AD194" i="1"/>
  <c r="AE194" i="1"/>
  <c r="AF194" i="1"/>
  <c r="AG194" i="1"/>
  <c r="AH194" i="1"/>
  <c r="AJ194" i="1"/>
  <c r="AK194" i="1"/>
  <c r="AO194" i="1"/>
  <c r="AP194" i="1"/>
  <c r="J194" i="1" s="1"/>
  <c r="BD194" i="1"/>
  <c r="BF194" i="1"/>
  <c r="BJ194" i="1"/>
  <c r="K195" i="1"/>
  <c r="AL195" i="1" s="1"/>
  <c r="Z195" i="1"/>
  <c r="AD195" i="1"/>
  <c r="AE195" i="1"/>
  <c r="AF195" i="1"/>
  <c r="AG195" i="1"/>
  <c r="AH195" i="1"/>
  <c r="AJ195" i="1"/>
  <c r="AK195" i="1"/>
  <c r="AO195" i="1"/>
  <c r="AP195" i="1"/>
  <c r="AX195" i="1" s="1"/>
  <c r="BD195" i="1"/>
  <c r="BF195" i="1"/>
  <c r="BJ195" i="1"/>
  <c r="K196" i="1"/>
  <c r="AL196" i="1" s="1"/>
  <c r="Z196" i="1"/>
  <c r="AD196" i="1"/>
  <c r="AE196" i="1"/>
  <c r="AF196" i="1"/>
  <c r="AG196" i="1"/>
  <c r="AH196" i="1"/>
  <c r="AJ196" i="1"/>
  <c r="AK196" i="1"/>
  <c r="AO196" i="1"/>
  <c r="I196" i="1" s="1"/>
  <c r="AP196" i="1"/>
  <c r="BI196" i="1" s="1"/>
  <c r="AC196" i="1" s="1"/>
  <c r="BD196" i="1"/>
  <c r="BF196" i="1"/>
  <c r="BJ196" i="1"/>
  <c r="K197" i="1"/>
  <c r="AL197" i="1" s="1"/>
  <c r="Z197" i="1"/>
  <c r="AD197" i="1"/>
  <c r="AE197" i="1"/>
  <c r="AF197" i="1"/>
  <c r="AG197" i="1"/>
  <c r="AH197" i="1"/>
  <c r="AJ197" i="1"/>
  <c r="AK197" i="1"/>
  <c r="AO197" i="1"/>
  <c r="I197" i="1" s="1"/>
  <c r="AP197" i="1"/>
  <c r="BD197" i="1"/>
  <c r="BF197" i="1"/>
  <c r="BH197" i="1"/>
  <c r="AB197" i="1" s="1"/>
  <c r="BJ197" i="1"/>
  <c r="K198" i="1"/>
  <c r="AL198" i="1" s="1"/>
  <c r="Z198" i="1"/>
  <c r="AD198" i="1"/>
  <c r="AE198" i="1"/>
  <c r="AF198" i="1"/>
  <c r="AG198" i="1"/>
  <c r="AH198" i="1"/>
  <c r="AJ198" i="1"/>
  <c r="AK198" i="1"/>
  <c r="AO198" i="1"/>
  <c r="AW198" i="1" s="1"/>
  <c r="AP198" i="1"/>
  <c r="BD198" i="1"/>
  <c r="BF198" i="1"/>
  <c r="BH198" i="1"/>
  <c r="AB198" i="1" s="1"/>
  <c r="BJ198" i="1"/>
  <c r="K199" i="1"/>
  <c r="AL199" i="1" s="1"/>
  <c r="Z199" i="1"/>
  <c r="AD199" i="1"/>
  <c r="AE199" i="1"/>
  <c r="AF199" i="1"/>
  <c r="AG199" i="1"/>
  <c r="AH199" i="1"/>
  <c r="AJ199" i="1"/>
  <c r="AK199" i="1"/>
  <c r="AO199" i="1"/>
  <c r="BH199" i="1" s="1"/>
  <c r="AB199" i="1" s="1"/>
  <c r="AP199" i="1"/>
  <c r="J199" i="1" s="1"/>
  <c r="BD199" i="1"/>
  <c r="BF199" i="1"/>
  <c r="BJ199" i="1"/>
  <c r="K201" i="1"/>
  <c r="AL201" i="1" s="1"/>
  <c r="Z201" i="1"/>
  <c r="AD201" i="1"/>
  <c r="AE201" i="1"/>
  <c r="AF201" i="1"/>
  <c r="AG201" i="1"/>
  <c r="AH201" i="1"/>
  <c r="AJ201" i="1"/>
  <c r="AK201" i="1"/>
  <c r="AO201" i="1"/>
  <c r="I201" i="1" s="1"/>
  <c r="AP201" i="1"/>
  <c r="BD201" i="1"/>
  <c r="BF201" i="1"/>
  <c r="BJ201" i="1"/>
  <c r="K203" i="1"/>
  <c r="Z203" i="1"/>
  <c r="AD203" i="1"/>
  <c r="AE203" i="1"/>
  <c r="AF203" i="1"/>
  <c r="AG203" i="1"/>
  <c r="AH203" i="1"/>
  <c r="AJ203" i="1"/>
  <c r="AK203" i="1"/>
  <c r="AL203" i="1"/>
  <c r="AO203" i="1"/>
  <c r="AW203" i="1" s="1"/>
  <c r="AP203" i="1"/>
  <c r="BD203" i="1"/>
  <c r="BF203" i="1"/>
  <c r="BH203" i="1"/>
  <c r="AB203" i="1" s="1"/>
  <c r="BJ203" i="1"/>
  <c r="K205" i="1"/>
  <c r="AL205" i="1" s="1"/>
  <c r="Z205" i="1"/>
  <c r="AD205" i="1"/>
  <c r="AE205" i="1"/>
  <c r="AF205" i="1"/>
  <c r="AG205" i="1"/>
  <c r="AH205" i="1"/>
  <c r="AJ205" i="1"/>
  <c r="AK205" i="1"/>
  <c r="AO205" i="1"/>
  <c r="AW205" i="1" s="1"/>
  <c r="AP205" i="1"/>
  <c r="BD205" i="1"/>
  <c r="BF205" i="1"/>
  <c r="BJ205" i="1"/>
  <c r="K206" i="1"/>
  <c r="AL206" i="1" s="1"/>
  <c r="Z206" i="1"/>
  <c r="AD206" i="1"/>
  <c r="AE206" i="1"/>
  <c r="AF206" i="1"/>
  <c r="AG206" i="1"/>
  <c r="AH206" i="1"/>
  <c r="AJ206" i="1"/>
  <c r="AK206" i="1"/>
  <c r="AO206" i="1"/>
  <c r="AP206" i="1"/>
  <c r="J206" i="1" s="1"/>
  <c r="BD206" i="1"/>
  <c r="BF206" i="1"/>
  <c r="BJ206" i="1"/>
  <c r="K207" i="1"/>
  <c r="AL207" i="1" s="1"/>
  <c r="Z207" i="1"/>
  <c r="AD207" i="1"/>
  <c r="AE207" i="1"/>
  <c r="AF207" i="1"/>
  <c r="AG207" i="1"/>
  <c r="AH207" i="1"/>
  <c r="AJ207" i="1"/>
  <c r="AK207" i="1"/>
  <c r="AO207" i="1"/>
  <c r="I207" i="1" s="1"/>
  <c r="AP207" i="1"/>
  <c r="J207" i="1" s="1"/>
  <c r="BD207" i="1"/>
  <c r="BF207" i="1"/>
  <c r="BJ207" i="1"/>
  <c r="K208" i="1"/>
  <c r="AL208" i="1" s="1"/>
  <c r="Z208" i="1"/>
  <c r="AD208" i="1"/>
  <c r="AE208" i="1"/>
  <c r="AF208" i="1"/>
  <c r="AG208" i="1"/>
  <c r="AH208" i="1"/>
  <c r="AJ208" i="1"/>
  <c r="AK208" i="1"/>
  <c r="AO208" i="1"/>
  <c r="AW208" i="1" s="1"/>
  <c r="AP208" i="1"/>
  <c r="AX208" i="1" s="1"/>
  <c r="BD208" i="1"/>
  <c r="BF208" i="1"/>
  <c r="BH208" i="1"/>
  <c r="AB208" i="1" s="1"/>
  <c r="BJ208" i="1"/>
  <c r="K210" i="1"/>
  <c r="AL210" i="1" s="1"/>
  <c r="Z210" i="1"/>
  <c r="AD210" i="1"/>
  <c r="AE210" i="1"/>
  <c r="AF210" i="1"/>
  <c r="AG210" i="1"/>
  <c r="AH210" i="1"/>
  <c r="AJ210" i="1"/>
  <c r="AK210" i="1"/>
  <c r="AO210" i="1"/>
  <c r="I210" i="1" s="1"/>
  <c r="AP210" i="1"/>
  <c r="BD210" i="1"/>
  <c r="BF210" i="1"/>
  <c r="BJ210" i="1"/>
  <c r="K211" i="1"/>
  <c r="AL211" i="1" s="1"/>
  <c r="Z211" i="1"/>
  <c r="AD211" i="1"/>
  <c r="AE211" i="1"/>
  <c r="AF211" i="1"/>
  <c r="AG211" i="1"/>
  <c r="AH211" i="1"/>
  <c r="AJ211" i="1"/>
  <c r="AK211" i="1"/>
  <c r="AO211" i="1"/>
  <c r="AP211" i="1"/>
  <c r="J211" i="1" s="1"/>
  <c r="BD211" i="1"/>
  <c r="BF211" i="1"/>
  <c r="BH211" i="1"/>
  <c r="AB211" i="1" s="1"/>
  <c r="BJ211" i="1"/>
  <c r="K212" i="1"/>
  <c r="AL212" i="1" s="1"/>
  <c r="Z212" i="1"/>
  <c r="AD212" i="1"/>
  <c r="AE212" i="1"/>
  <c r="AF212" i="1"/>
  <c r="AG212" i="1"/>
  <c r="AH212" i="1"/>
  <c r="AJ212" i="1"/>
  <c r="AK212" i="1"/>
  <c r="AO212" i="1"/>
  <c r="I212" i="1" s="1"/>
  <c r="AP212" i="1"/>
  <c r="J212" i="1" s="1"/>
  <c r="BD212" i="1"/>
  <c r="BF212" i="1"/>
  <c r="BJ212" i="1"/>
  <c r="K213" i="1"/>
  <c r="AL213" i="1" s="1"/>
  <c r="Z213" i="1"/>
  <c r="AD213" i="1"/>
  <c r="AE213" i="1"/>
  <c r="AF213" i="1"/>
  <c r="AG213" i="1"/>
  <c r="AH213" i="1"/>
  <c r="AJ213" i="1"/>
  <c r="AK213" i="1"/>
  <c r="AO213" i="1"/>
  <c r="AP213" i="1"/>
  <c r="BD213" i="1"/>
  <c r="BF213" i="1"/>
  <c r="BH213" i="1"/>
  <c r="AB213" i="1" s="1"/>
  <c r="BJ213" i="1"/>
  <c r="K214" i="1"/>
  <c r="AL214" i="1" s="1"/>
  <c r="Z214" i="1"/>
  <c r="AD214" i="1"/>
  <c r="AE214" i="1"/>
  <c r="AF214" i="1"/>
  <c r="AG214" i="1"/>
  <c r="AH214" i="1"/>
  <c r="AJ214" i="1"/>
  <c r="AK214" i="1"/>
  <c r="AO214" i="1"/>
  <c r="AW214" i="1" s="1"/>
  <c r="AP214" i="1"/>
  <c r="J214" i="1" s="1"/>
  <c r="BD214" i="1"/>
  <c r="BF214" i="1"/>
  <c r="BH214" i="1"/>
  <c r="AB214" i="1" s="1"/>
  <c r="BJ214" i="1"/>
  <c r="K215" i="1"/>
  <c r="AL215" i="1" s="1"/>
  <c r="Z215" i="1"/>
  <c r="AD215" i="1"/>
  <c r="AE215" i="1"/>
  <c r="AF215" i="1"/>
  <c r="AG215" i="1"/>
  <c r="AH215" i="1"/>
  <c r="AJ215" i="1"/>
  <c r="AK215" i="1"/>
  <c r="AO215" i="1"/>
  <c r="AP215" i="1"/>
  <c r="BI215" i="1" s="1"/>
  <c r="AC215" i="1" s="1"/>
  <c r="BD215" i="1"/>
  <c r="BF215" i="1"/>
  <c r="BJ215" i="1"/>
  <c r="K217" i="1"/>
  <c r="K216" i="1" s="1"/>
  <c r="G47" i="2" s="1"/>
  <c r="I47" i="2" s="1"/>
  <c r="AB217" i="1"/>
  <c r="AC217" i="1"/>
  <c r="AD217" i="1"/>
  <c r="AE217" i="1"/>
  <c r="AF217" i="1"/>
  <c r="AG217" i="1"/>
  <c r="AH217" i="1"/>
  <c r="AJ217" i="1"/>
  <c r="AS216" i="1" s="1"/>
  <c r="AK217" i="1"/>
  <c r="AT216" i="1" s="1"/>
  <c r="AO217" i="1"/>
  <c r="AP217" i="1"/>
  <c r="J217" i="1" s="1"/>
  <c r="J216" i="1" s="1"/>
  <c r="F47" i="2" s="1"/>
  <c r="BD217" i="1"/>
  <c r="BF217" i="1"/>
  <c r="BJ217" i="1"/>
  <c r="Z217" i="1" s="1"/>
  <c r="K219" i="1"/>
  <c r="AB219" i="1"/>
  <c r="AC219" i="1"/>
  <c r="AD219" i="1"/>
  <c r="AE219" i="1"/>
  <c r="AF219" i="1"/>
  <c r="AG219" i="1"/>
  <c r="AH219" i="1"/>
  <c r="AJ219" i="1"/>
  <c r="AK219" i="1"/>
  <c r="AO219" i="1"/>
  <c r="AW219" i="1" s="1"/>
  <c r="AP219" i="1"/>
  <c r="J219" i="1" s="1"/>
  <c r="BD219" i="1"/>
  <c r="BF219" i="1"/>
  <c r="BJ219" i="1"/>
  <c r="Z219" i="1" s="1"/>
  <c r="K220" i="1"/>
  <c r="AL220" i="1" s="1"/>
  <c r="AB220" i="1"/>
  <c r="AC220" i="1"/>
  <c r="AD220" i="1"/>
  <c r="AE220" i="1"/>
  <c r="AF220" i="1"/>
  <c r="AG220" i="1"/>
  <c r="AH220" i="1"/>
  <c r="AJ220" i="1"/>
  <c r="AK220" i="1"/>
  <c r="AO220" i="1"/>
  <c r="AW220" i="1" s="1"/>
  <c r="AP220" i="1"/>
  <c r="BI220" i="1" s="1"/>
  <c r="BD220" i="1"/>
  <c r="BF220" i="1"/>
  <c r="BJ220" i="1"/>
  <c r="Z220" i="1" s="1"/>
  <c r="K222" i="1"/>
  <c r="Z222" i="1"/>
  <c r="AB222" i="1"/>
  <c r="AC222" i="1"/>
  <c r="AD222" i="1"/>
  <c r="AE222" i="1"/>
  <c r="AH222" i="1"/>
  <c r="AJ222" i="1"/>
  <c r="AK222" i="1"/>
  <c r="AO222" i="1"/>
  <c r="AP222" i="1"/>
  <c r="BD222" i="1"/>
  <c r="BF222" i="1"/>
  <c r="BJ222" i="1"/>
  <c r="K223" i="1"/>
  <c r="AL223" i="1" s="1"/>
  <c r="Z223" i="1"/>
  <c r="AB223" i="1"/>
  <c r="AC223" i="1"/>
  <c r="AD223" i="1"/>
  <c r="AE223" i="1"/>
  <c r="AH223" i="1"/>
  <c r="AJ223" i="1"/>
  <c r="AK223" i="1"/>
  <c r="AO223" i="1"/>
  <c r="AW223" i="1" s="1"/>
  <c r="AP223" i="1"/>
  <c r="J223" i="1" s="1"/>
  <c r="BD223" i="1"/>
  <c r="BF223" i="1"/>
  <c r="BJ223" i="1"/>
  <c r="K225" i="1"/>
  <c r="Z225" i="1"/>
  <c r="AB225" i="1"/>
  <c r="AC225" i="1"/>
  <c r="AD225" i="1"/>
  <c r="AE225" i="1"/>
  <c r="AH225" i="1"/>
  <c r="AJ225" i="1"/>
  <c r="AK225" i="1"/>
  <c r="AL225" i="1"/>
  <c r="AO225" i="1"/>
  <c r="I225" i="1" s="1"/>
  <c r="AP225" i="1"/>
  <c r="J225" i="1" s="1"/>
  <c r="BD225" i="1"/>
  <c r="BF225" i="1"/>
  <c r="BJ225" i="1"/>
  <c r="K226" i="1"/>
  <c r="AL226" i="1" s="1"/>
  <c r="Z226" i="1"/>
  <c r="AB226" i="1"/>
  <c r="AC226" i="1"/>
  <c r="AD226" i="1"/>
  <c r="AE226" i="1"/>
  <c r="AH226" i="1"/>
  <c r="AJ226" i="1"/>
  <c r="AK226" i="1"/>
  <c r="AO226" i="1"/>
  <c r="I226" i="1" s="1"/>
  <c r="AP226" i="1"/>
  <c r="J226" i="1" s="1"/>
  <c r="BD226" i="1"/>
  <c r="BF226" i="1"/>
  <c r="BH226" i="1"/>
  <c r="AF226" i="1" s="1"/>
  <c r="BJ226" i="1"/>
  <c r="K227" i="1"/>
  <c r="AL227" i="1" s="1"/>
  <c r="Z227" i="1"/>
  <c r="AB227" i="1"/>
  <c r="AC227" i="1"/>
  <c r="AD227" i="1"/>
  <c r="AE227" i="1"/>
  <c r="AH227" i="1"/>
  <c r="AJ227" i="1"/>
  <c r="AK227" i="1"/>
  <c r="AO227" i="1"/>
  <c r="I227" i="1" s="1"/>
  <c r="AP227" i="1"/>
  <c r="J227" i="1" s="1"/>
  <c r="BD227" i="1"/>
  <c r="BF227" i="1"/>
  <c r="BH227" i="1"/>
  <c r="AF227" i="1" s="1"/>
  <c r="BJ227" i="1"/>
  <c r="K228" i="1"/>
  <c r="AL228" i="1" s="1"/>
  <c r="Z228" i="1"/>
  <c r="AD228" i="1"/>
  <c r="AE228" i="1"/>
  <c r="AF228" i="1"/>
  <c r="AG228" i="1"/>
  <c r="AH228" i="1"/>
  <c r="AJ228" i="1"/>
  <c r="AK228" i="1"/>
  <c r="AO228" i="1"/>
  <c r="I228" i="1" s="1"/>
  <c r="AP228" i="1"/>
  <c r="AX228" i="1" s="1"/>
  <c r="BD228" i="1"/>
  <c r="BF228" i="1"/>
  <c r="BH228" i="1"/>
  <c r="AB228" i="1" s="1"/>
  <c r="BJ228" i="1"/>
  <c r="K229" i="1"/>
  <c r="AL229" i="1" s="1"/>
  <c r="Z229" i="1"/>
  <c r="AD229" i="1"/>
  <c r="AE229" i="1"/>
  <c r="AF229" i="1"/>
  <c r="AG229" i="1"/>
  <c r="AH229" i="1"/>
  <c r="AJ229" i="1"/>
  <c r="AK229" i="1"/>
  <c r="AO229" i="1"/>
  <c r="BH229" i="1" s="1"/>
  <c r="AB229" i="1" s="1"/>
  <c r="AP229" i="1"/>
  <c r="AX229" i="1" s="1"/>
  <c r="BD229" i="1"/>
  <c r="BF229" i="1"/>
  <c r="BJ229" i="1"/>
  <c r="K230" i="1"/>
  <c r="AL230" i="1" s="1"/>
  <c r="Z230" i="1"/>
  <c r="AD230" i="1"/>
  <c r="AE230" i="1"/>
  <c r="AF230" i="1"/>
  <c r="AG230" i="1"/>
  <c r="AH230" i="1"/>
  <c r="AJ230" i="1"/>
  <c r="AK230" i="1"/>
  <c r="AO230" i="1"/>
  <c r="AW230" i="1" s="1"/>
  <c r="AP230" i="1"/>
  <c r="BD230" i="1"/>
  <c r="BF230" i="1"/>
  <c r="BJ230" i="1"/>
  <c r="K231" i="1"/>
  <c r="AL231" i="1" s="1"/>
  <c r="Z231" i="1"/>
  <c r="AD231" i="1"/>
  <c r="AE231" i="1"/>
  <c r="AF231" i="1"/>
  <c r="AG231" i="1"/>
  <c r="AH231" i="1"/>
  <c r="AJ231" i="1"/>
  <c r="AK231" i="1"/>
  <c r="AO231" i="1"/>
  <c r="AP231" i="1"/>
  <c r="AX231" i="1" s="1"/>
  <c r="BD231" i="1"/>
  <c r="BF231" i="1"/>
  <c r="BJ231" i="1"/>
  <c r="K232" i="1"/>
  <c r="AL232" i="1" s="1"/>
  <c r="Z232" i="1"/>
  <c r="AD232" i="1"/>
  <c r="AE232" i="1"/>
  <c r="AF232" i="1"/>
  <c r="AG232" i="1"/>
  <c r="AH232" i="1"/>
  <c r="AJ232" i="1"/>
  <c r="AK232" i="1"/>
  <c r="AO232" i="1"/>
  <c r="AW232" i="1" s="1"/>
  <c r="AP232" i="1"/>
  <c r="AX232" i="1" s="1"/>
  <c r="BD232" i="1"/>
  <c r="BF232" i="1"/>
  <c r="BJ232" i="1"/>
  <c r="K233" i="1"/>
  <c r="Z233" i="1"/>
  <c r="AD233" i="1"/>
  <c r="AE233" i="1"/>
  <c r="AF233" i="1"/>
  <c r="AG233" i="1"/>
  <c r="AH233" i="1"/>
  <c r="AJ233" i="1"/>
  <c r="AK233" i="1"/>
  <c r="AL233" i="1"/>
  <c r="AO233" i="1"/>
  <c r="AW233" i="1" s="1"/>
  <c r="AP233" i="1"/>
  <c r="BI233" i="1" s="1"/>
  <c r="AC233" i="1" s="1"/>
  <c r="BD233" i="1"/>
  <c r="BF233" i="1"/>
  <c r="BJ233" i="1"/>
  <c r="K234" i="1"/>
  <c r="AL234" i="1" s="1"/>
  <c r="Z234" i="1"/>
  <c r="AD234" i="1"/>
  <c r="AE234" i="1"/>
  <c r="AF234" i="1"/>
  <c r="AG234" i="1"/>
  <c r="AH234" i="1"/>
  <c r="AJ234" i="1"/>
  <c r="AK234" i="1"/>
  <c r="AO234" i="1"/>
  <c r="BH234" i="1" s="1"/>
  <c r="AB234" i="1" s="1"/>
  <c r="AP234" i="1"/>
  <c r="BI234" i="1" s="1"/>
  <c r="AC234" i="1" s="1"/>
  <c r="BD234" i="1"/>
  <c r="BF234" i="1"/>
  <c r="BJ234" i="1"/>
  <c r="K235" i="1"/>
  <c r="AL235" i="1" s="1"/>
  <c r="Z235" i="1"/>
  <c r="AD235" i="1"/>
  <c r="AE235" i="1"/>
  <c r="AF235" i="1"/>
  <c r="AG235" i="1"/>
  <c r="AH235" i="1"/>
  <c r="AJ235" i="1"/>
  <c r="AK235" i="1"/>
  <c r="AO235" i="1"/>
  <c r="AP235" i="1"/>
  <c r="J235" i="1" s="1"/>
  <c r="BD235" i="1"/>
  <c r="BF235" i="1"/>
  <c r="BJ235" i="1"/>
  <c r="K236" i="1"/>
  <c r="AL236" i="1" s="1"/>
  <c r="Z236" i="1"/>
  <c r="AD236" i="1"/>
  <c r="AE236" i="1"/>
  <c r="AF236" i="1"/>
  <c r="AG236" i="1"/>
  <c r="AH236" i="1"/>
  <c r="AJ236" i="1"/>
  <c r="AK236" i="1"/>
  <c r="AO236" i="1"/>
  <c r="AP236" i="1"/>
  <c r="J236" i="1" s="1"/>
  <c r="BD236" i="1"/>
  <c r="BF236" i="1"/>
  <c r="BJ236" i="1"/>
  <c r="K237" i="1"/>
  <c r="AL237" i="1" s="1"/>
  <c r="Z237" i="1"/>
  <c r="AD237" i="1"/>
  <c r="AE237" i="1"/>
  <c r="AF237" i="1"/>
  <c r="AG237" i="1"/>
  <c r="AH237" i="1"/>
  <c r="AJ237" i="1"/>
  <c r="AK237" i="1"/>
  <c r="AO237" i="1"/>
  <c r="I237" i="1" s="1"/>
  <c r="AP237" i="1"/>
  <c r="AX237" i="1" s="1"/>
  <c r="BD237" i="1"/>
  <c r="BF237" i="1"/>
  <c r="BJ237" i="1"/>
  <c r="K238" i="1"/>
  <c r="AL238" i="1" s="1"/>
  <c r="Z238" i="1"/>
  <c r="AB238" i="1"/>
  <c r="AC238" i="1"/>
  <c r="AD238" i="1"/>
  <c r="AE238" i="1"/>
  <c r="AH238" i="1"/>
  <c r="AJ238" i="1"/>
  <c r="AK238" i="1"/>
  <c r="AO238" i="1"/>
  <c r="AW238" i="1" s="1"/>
  <c r="AP238" i="1"/>
  <c r="BD238" i="1"/>
  <c r="BF238" i="1"/>
  <c r="BH238" i="1"/>
  <c r="AF238" i="1" s="1"/>
  <c r="BJ238" i="1"/>
  <c r="K239" i="1"/>
  <c r="AL239" i="1" s="1"/>
  <c r="Z239" i="1"/>
  <c r="AB239" i="1"/>
  <c r="AC239" i="1"/>
  <c r="AD239" i="1"/>
  <c r="AE239" i="1"/>
  <c r="AH239" i="1"/>
  <c r="AJ239" i="1"/>
  <c r="AK239" i="1"/>
  <c r="AO239" i="1"/>
  <c r="I239" i="1" s="1"/>
  <c r="AP239" i="1"/>
  <c r="AX239" i="1" s="1"/>
  <c r="BD239" i="1"/>
  <c r="BF239" i="1"/>
  <c r="BJ239" i="1"/>
  <c r="K240" i="1"/>
  <c r="AL240" i="1" s="1"/>
  <c r="Z240" i="1"/>
  <c r="AB240" i="1"/>
  <c r="AC240" i="1"/>
  <c r="AD240" i="1"/>
  <c r="AE240" i="1"/>
  <c r="AH240" i="1"/>
  <c r="AJ240" i="1"/>
  <c r="AK240" i="1"/>
  <c r="AO240" i="1"/>
  <c r="I240" i="1" s="1"/>
  <c r="AP240" i="1"/>
  <c r="J240" i="1" s="1"/>
  <c r="BD240" i="1"/>
  <c r="BF240" i="1"/>
  <c r="BI240" i="1"/>
  <c r="AG240" i="1" s="1"/>
  <c r="BJ240" i="1"/>
  <c r="K241" i="1"/>
  <c r="AL241" i="1" s="1"/>
  <c r="Z241" i="1"/>
  <c r="AB241" i="1"/>
  <c r="AC241" i="1"/>
  <c r="AD241" i="1"/>
  <c r="AE241" i="1"/>
  <c r="AH241" i="1"/>
  <c r="AJ241" i="1"/>
  <c r="AK241" i="1"/>
  <c r="AO241" i="1"/>
  <c r="AW241" i="1" s="1"/>
  <c r="AP241" i="1"/>
  <c r="BI241" i="1" s="1"/>
  <c r="AG241" i="1" s="1"/>
  <c r="BD241" i="1"/>
  <c r="BF241" i="1"/>
  <c r="BJ241" i="1"/>
  <c r="K242" i="1"/>
  <c r="AL242" i="1" s="1"/>
  <c r="Z242" i="1"/>
  <c r="AB242" i="1"/>
  <c r="AC242" i="1"/>
  <c r="AD242" i="1"/>
  <c r="AE242" i="1"/>
  <c r="AH242" i="1"/>
  <c r="AJ242" i="1"/>
  <c r="AK242" i="1"/>
  <c r="AO242" i="1"/>
  <c r="AP242" i="1"/>
  <c r="BD242" i="1"/>
  <c r="BF242" i="1"/>
  <c r="BJ242" i="1"/>
  <c r="K243" i="1"/>
  <c r="AL243" i="1" s="1"/>
  <c r="Z243" i="1"/>
  <c r="AB243" i="1"/>
  <c r="AC243" i="1"/>
  <c r="AD243" i="1"/>
  <c r="AE243" i="1"/>
  <c r="AH243" i="1"/>
  <c r="AJ243" i="1"/>
  <c r="AK243" i="1"/>
  <c r="AO243" i="1"/>
  <c r="AP243" i="1"/>
  <c r="J243" i="1" s="1"/>
  <c r="BD243" i="1"/>
  <c r="BF243" i="1"/>
  <c r="BJ243" i="1"/>
  <c r="K244" i="1"/>
  <c r="AL244" i="1" s="1"/>
  <c r="Z244" i="1"/>
  <c r="AB244" i="1"/>
  <c r="AC244" i="1"/>
  <c r="AD244" i="1"/>
  <c r="AE244" i="1"/>
  <c r="AH244" i="1"/>
  <c r="AJ244" i="1"/>
  <c r="AK244" i="1"/>
  <c r="AO244" i="1"/>
  <c r="I244" i="1" s="1"/>
  <c r="AP244" i="1"/>
  <c r="J244" i="1" s="1"/>
  <c r="BD244" i="1"/>
  <c r="BF244" i="1"/>
  <c r="BI244" i="1"/>
  <c r="AG244" i="1" s="1"/>
  <c r="BJ244" i="1"/>
  <c r="K245" i="1"/>
  <c r="AL245" i="1" s="1"/>
  <c r="Z245" i="1"/>
  <c r="AB245" i="1"/>
  <c r="AC245" i="1"/>
  <c r="AD245" i="1"/>
  <c r="AE245" i="1"/>
  <c r="AH245" i="1"/>
  <c r="AJ245" i="1"/>
  <c r="AK245" i="1"/>
  <c r="AO245" i="1"/>
  <c r="AP245" i="1"/>
  <c r="AX245" i="1" s="1"/>
  <c r="BD245" i="1"/>
  <c r="BF245" i="1"/>
  <c r="BJ245" i="1"/>
  <c r="K246" i="1"/>
  <c r="AL246" i="1" s="1"/>
  <c r="Z246" i="1"/>
  <c r="AB246" i="1"/>
  <c r="AC246" i="1"/>
  <c r="AD246" i="1"/>
  <c r="AE246" i="1"/>
  <c r="AH246" i="1"/>
  <c r="AJ246" i="1"/>
  <c r="AK246" i="1"/>
  <c r="AO246" i="1"/>
  <c r="AW246" i="1" s="1"/>
  <c r="AP246" i="1"/>
  <c r="J246" i="1" s="1"/>
  <c r="BD246" i="1"/>
  <c r="BF246" i="1"/>
  <c r="BJ246" i="1"/>
  <c r="K247" i="1"/>
  <c r="AL247" i="1" s="1"/>
  <c r="Z247" i="1"/>
  <c r="AB247" i="1"/>
  <c r="AC247" i="1"/>
  <c r="AD247" i="1"/>
  <c r="AE247" i="1"/>
  <c r="AH247" i="1"/>
  <c r="AJ247" i="1"/>
  <c r="AK247" i="1"/>
  <c r="AO247" i="1"/>
  <c r="I247" i="1" s="1"/>
  <c r="AP247" i="1"/>
  <c r="J247" i="1" s="1"/>
  <c r="BD247" i="1"/>
  <c r="BF247" i="1"/>
  <c r="BI247" i="1"/>
  <c r="AG247" i="1" s="1"/>
  <c r="BJ247" i="1"/>
  <c r="K248" i="1"/>
  <c r="AL248" i="1" s="1"/>
  <c r="Z248" i="1"/>
  <c r="AB248" i="1"/>
  <c r="AC248" i="1"/>
  <c r="AD248" i="1"/>
  <c r="AE248" i="1"/>
  <c r="AH248" i="1"/>
  <c r="AJ248" i="1"/>
  <c r="AK248" i="1"/>
  <c r="AO248" i="1"/>
  <c r="I248" i="1" s="1"/>
  <c r="AP248" i="1"/>
  <c r="J248" i="1" s="1"/>
  <c r="BD248" i="1"/>
  <c r="BF248" i="1"/>
  <c r="BJ248" i="1"/>
  <c r="Z250" i="1"/>
  <c r="AB250" i="1"/>
  <c r="AC250" i="1"/>
  <c r="AD250" i="1"/>
  <c r="AE250" i="1"/>
  <c r="AH250" i="1"/>
  <c r="AJ250" i="1"/>
  <c r="AS249" i="1" s="1"/>
  <c r="AK250" i="1"/>
  <c r="AT249" i="1" s="1"/>
  <c r="BF250" i="1"/>
  <c r="K252" i="1"/>
  <c r="AL252" i="1" s="1"/>
  <c r="AB252" i="1"/>
  <c r="AC252" i="1"/>
  <c r="AD252" i="1"/>
  <c r="AE252" i="1"/>
  <c r="AF252" i="1"/>
  <c r="AG252" i="1"/>
  <c r="AH252" i="1"/>
  <c r="AJ252" i="1"/>
  <c r="AK252" i="1"/>
  <c r="AO252" i="1"/>
  <c r="BH252" i="1" s="1"/>
  <c r="AP252" i="1"/>
  <c r="AX252" i="1" s="1"/>
  <c r="BD252" i="1"/>
  <c r="BF252" i="1"/>
  <c r="BJ252" i="1"/>
  <c r="Z252" i="1" s="1"/>
  <c r="K253" i="1"/>
  <c r="AL253" i="1" s="1"/>
  <c r="AB253" i="1"/>
  <c r="AC253" i="1"/>
  <c r="AD253" i="1"/>
  <c r="AE253" i="1"/>
  <c r="AF253" i="1"/>
  <c r="AG253" i="1"/>
  <c r="AH253" i="1"/>
  <c r="AJ253" i="1"/>
  <c r="AK253" i="1"/>
  <c r="AO253" i="1"/>
  <c r="I253" i="1" s="1"/>
  <c r="AP253" i="1"/>
  <c r="J253" i="1" s="1"/>
  <c r="BD253" i="1"/>
  <c r="BF253" i="1"/>
  <c r="BH253" i="1"/>
  <c r="BJ253" i="1"/>
  <c r="Z253" i="1" s="1"/>
  <c r="K254" i="1"/>
  <c r="AL254" i="1" s="1"/>
  <c r="AB254" i="1"/>
  <c r="AC254" i="1"/>
  <c r="AD254" i="1"/>
  <c r="AE254" i="1"/>
  <c r="AF254" i="1"/>
  <c r="AG254" i="1"/>
  <c r="AH254" i="1"/>
  <c r="AJ254" i="1"/>
  <c r="AK254" i="1"/>
  <c r="AO254" i="1"/>
  <c r="AW254" i="1" s="1"/>
  <c r="AP254" i="1"/>
  <c r="BI254" i="1" s="1"/>
  <c r="BD254" i="1"/>
  <c r="BF254" i="1"/>
  <c r="BH254" i="1"/>
  <c r="BJ254" i="1"/>
  <c r="Z254" i="1" s="1"/>
  <c r="K255" i="1"/>
  <c r="AL255" i="1" s="1"/>
  <c r="AB255" i="1"/>
  <c r="AC255" i="1"/>
  <c r="AD255" i="1"/>
  <c r="AE255" i="1"/>
  <c r="AF255" i="1"/>
  <c r="AG255" i="1"/>
  <c r="AH255" i="1"/>
  <c r="AJ255" i="1"/>
  <c r="AK255" i="1"/>
  <c r="AO255" i="1"/>
  <c r="AP255" i="1"/>
  <c r="BI255" i="1" s="1"/>
  <c r="BD255" i="1"/>
  <c r="BF255" i="1"/>
  <c r="BJ255" i="1"/>
  <c r="Z255" i="1" s="1"/>
  <c r="K256" i="1"/>
  <c r="AL256" i="1" s="1"/>
  <c r="AB256" i="1"/>
  <c r="AC256" i="1"/>
  <c r="AD256" i="1"/>
  <c r="AE256" i="1"/>
  <c r="AF256" i="1"/>
  <c r="AG256" i="1"/>
  <c r="AH256" i="1"/>
  <c r="AJ256" i="1"/>
  <c r="AK256" i="1"/>
  <c r="AO256" i="1"/>
  <c r="BH256" i="1" s="1"/>
  <c r="AP256" i="1"/>
  <c r="J256" i="1" s="1"/>
  <c r="BD256" i="1"/>
  <c r="BF256" i="1"/>
  <c r="BJ256" i="1"/>
  <c r="Z256" i="1" s="1"/>
  <c r="K257" i="1"/>
  <c r="AL257" i="1" s="1"/>
  <c r="AB257" i="1"/>
  <c r="AC257" i="1"/>
  <c r="AD257" i="1"/>
  <c r="AE257" i="1"/>
  <c r="AF257" i="1"/>
  <c r="AG257" i="1"/>
  <c r="AH257" i="1"/>
  <c r="AJ257" i="1"/>
  <c r="AK257" i="1"/>
  <c r="AO257" i="1"/>
  <c r="I257" i="1" s="1"/>
  <c r="AP257" i="1"/>
  <c r="AX257" i="1" s="1"/>
  <c r="BD257" i="1"/>
  <c r="BF257" i="1"/>
  <c r="BH257" i="1"/>
  <c r="BJ257" i="1"/>
  <c r="Z257" i="1" s="1"/>
  <c r="K258" i="1"/>
  <c r="AB258" i="1"/>
  <c r="AC258" i="1"/>
  <c r="AD258" i="1"/>
  <c r="AE258" i="1"/>
  <c r="AF258" i="1"/>
  <c r="AG258" i="1"/>
  <c r="AH258" i="1"/>
  <c r="AJ258" i="1"/>
  <c r="AK258" i="1"/>
  <c r="AO258" i="1"/>
  <c r="AW258" i="1" s="1"/>
  <c r="AP258" i="1"/>
  <c r="J258" i="1" s="1"/>
  <c r="BD258" i="1"/>
  <c r="BF258" i="1"/>
  <c r="BJ258" i="1"/>
  <c r="Z258" i="1" s="1"/>
  <c r="K259" i="1"/>
  <c r="AL259" i="1" s="1"/>
  <c r="AB259" i="1"/>
  <c r="AC259" i="1"/>
  <c r="AD259" i="1"/>
  <c r="AE259" i="1"/>
  <c r="AF259" i="1"/>
  <c r="AG259" i="1"/>
  <c r="AH259" i="1"/>
  <c r="AJ259" i="1"/>
  <c r="AK259" i="1"/>
  <c r="AO259" i="1"/>
  <c r="I259" i="1" s="1"/>
  <c r="AP259" i="1"/>
  <c r="AX259" i="1" s="1"/>
  <c r="BD259" i="1"/>
  <c r="BF259" i="1"/>
  <c r="BJ259" i="1"/>
  <c r="Z259" i="1" s="1"/>
  <c r="K260" i="1"/>
  <c r="AL260" i="1" s="1"/>
  <c r="AB260" i="1"/>
  <c r="AC260" i="1"/>
  <c r="AD260" i="1"/>
  <c r="AE260" i="1"/>
  <c r="AF260" i="1"/>
  <c r="AG260" i="1"/>
  <c r="AH260" i="1"/>
  <c r="AJ260" i="1"/>
  <c r="AK260" i="1"/>
  <c r="AO260" i="1"/>
  <c r="AW260" i="1" s="1"/>
  <c r="AP260" i="1"/>
  <c r="J260" i="1" s="1"/>
  <c r="BD260" i="1"/>
  <c r="BF260" i="1"/>
  <c r="BJ260" i="1"/>
  <c r="Z260" i="1" s="1"/>
  <c r="K261" i="1"/>
  <c r="AL261" i="1" s="1"/>
  <c r="AB261" i="1"/>
  <c r="AC261" i="1"/>
  <c r="AD261" i="1"/>
  <c r="AE261" i="1"/>
  <c r="AF261" i="1"/>
  <c r="AG261" i="1"/>
  <c r="AH261" i="1"/>
  <c r="AJ261" i="1"/>
  <c r="AK261" i="1"/>
  <c r="AO261" i="1"/>
  <c r="BH261" i="1" s="1"/>
  <c r="AP261" i="1"/>
  <c r="BI261" i="1" s="1"/>
  <c r="BD261" i="1"/>
  <c r="BF261" i="1"/>
  <c r="BJ261" i="1"/>
  <c r="Z261" i="1" s="1"/>
  <c r="K262" i="1"/>
  <c r="AL262" i="1" s="1"/>
  <c r="AB262" i="1"/>
  <c r="AC262" i="1"/>
  <c r="AD262" i="1"/>
  <c r="AE262" i="1"/>
  <c r="AF262" i="1"/>
  <c r="AG262" i="1"/>
  <c r="AH262" i="1"/>
  <c r="AJ262" i="1"/>
  <c r="AK262" i="1"/>
  <c r="AO262" i="1"/>
  <c r="BH262" i="1" s="1"/>
  <c r="AP262" i="1"/>
  <c r="J262" i="1" s="1"/>
  <c r="BD262" i="1"/>
  <c r="BF262" i="1"/>
  <c r="BJ262" i="1"/>
  <c r="Z262" i="1" s="1"/>
  <c r="K263" i="1"/>
  <c r="AL263" i="1" s="1"/>
  <c r="AB263" i="1"/>
  <c r="AC263" i="1"/>
  <c r="AD263" i="1"/>
  <c r="AE263" i="1"/>
  <c r="AF263" i="1"/>
  <c r="AG263" i="1"/>
  <c r="AH263" i="1"/>
  <c r="AJ263" i="1"/>
  <c r="AK263" i="1"/>
  <c r="AO263" i="1"/>
  <c r="I263" i="1" s="1"/>
  <c r="AP263" i="1"/>
  <c r="J263" i="1" s="1"/>
  <c r="BD263" i="1"/>
  <c r="BF263" i="1"/>
  <c r="BJ263" i="1"/>
  <c r="Z263" i="1" s="1"/>
  <c r="B2" i="2"/>
  <c r="E2" i="2"/>
  <c r="B4" i="2"/>
  <c r="E4" i="2"/>
  <c r="B6" i="2"/>
  <c r="E6" i="2"/>
  <c r="B8" i="2"/>
  <c r="E8" i="2"/>
  <c r="G24" i="2"/>
  <c r="I24" i="2" s="1"/>
  <c r="C2" i="5"/>
  <c r="F2" i="5"/>
  <c r="C4" i="5"/>
  <c r="F4" i="5"/>
  <c r="C6" i="5"/>
  <c r="F6" i="5"/>
  <c r="C8" i="5"/>
  <c r="F8" i="5"/>
  <c r="C10" i="5"/>
  <c r="F10" i="5"/>
  <c r="I10" i="5"/>
  <c r="I15" i="5"/>
  <c r="I16" i="5"/>
  <c r="F15" i="4" s="1"/>
  <c r="I17" i="5"/>
  <c r="F16" i="4" s="1"/>
  <c r="I22" i="5"/>
  <c r="I15" i="4" s="1"/>
  <c r="I23" i="5"/>
  <c r="I16" i="4" s="1"/>
  <c r="I24" i="5"/>
  <c r="I17" i="4" s="1"/>
  <c r="I25" i="5"/>
  <c r="I18" i="4" s="1"/>
  <c r="I26" i="5"/>
  <c r="I19" i="4" s="1"/>
  <c r="I35" i="5"/>
  <c r="I36" i="5"/>
  <c r="I24" i="4" s="1"/>
  <c r="C2" i="3"/>
  <c r="F2" i="3"/>
  <c r="C4" i="3"/>
  <c r="F4" i="3"/>
  <c r="C6" i="3"/>
  <c r="F6" i="3"/>
  <c r="C8" i="3"/>
  <c r="F8" i="3"/>
  <c r="AX215" i="1"/>
  <c r="AW215" i="1"/>
  <c r="AW199" i="1"/>
  <c r="BI199" i="1"/>
  <c r="AC199" i="1" s="1"/>
  <c r="AX199" i="1"/>
  <c r="AX163" i="1"/>
  <c r="AX162" i="1"/>
  <c r="BH158" i="1"/>
  <c r="AW118" i="1"/>
  <c r="BH118" i="1"/>
  <c r="AX116" i="1"/>
  <c r="AW115" i="1"/>
  <c r="AW95" i="1"/>
  <c r="AX84" i="1"/>
  <c r="AX76" i="1"/>
  <c r="AX74" i="1"/>
  <c r="AX73" i="1"/>
  <c r="J73" i="1"/>
  <c r="BI63" i="1"/>
  <c r="AC63" i="1" s="1"/>
  <c r="AX63" i="1"/>
  <c r="I58" i="1"/>
  <c r="AS57" i="1"/>
  <c r="AW52" i="1"/>
  <c r="AW48" i="1"/>
  <c r="AW22" i="1"/>
  <c r="AW21" i="1"/>
  <c r="J13" i="1"/>
  <c r="AS12" i="1"/>
  <c r="BH258" i="1" l="1"/>
  <c r="BH237" i="1"/>
  <c r="AB237" i="1" s="1"/>
  <c r="BI121" i="1"/>
  <c r="AE121" i="1" s="1"/>
  <c r="BH50" i="1"/>
  <c r="AB50" i="1" s="1"/>
  <c r="BI133" i="1"/>
  <c r="AE133" i="1" s="1"/>
  <c r="BI127" i="1"/>
  <c r="AE127" i="1" s="1"/>
  <c r="BI39" i="1"/>
  <c r="AC39" i="1" s="1"/>
  <c r="AW212" i="1"/>
  <c r="BI128" i="1"/>
  <c r="AE128" i="1" s="1"/>
  <c r="AW126" i="1"/>
  <c r="BC145" i="1"/>
  <c r="AX211" i="1"/>
  <c r="AX217" i="1"/>
  <c r="AW177" i="1"/>
  <c r="AT159" i="1"/>
  <c r="I155" i="1"/>
  <c r="E38" i="2" s="1"/>
  <c r="I124" i="1"/>
  <c r="BI122" i="1"/>
  <c r="AE122" i="1" s="1"/>
  <c r="BI112" i="1"/>
  <c r="AE112" i="1" s="1"/>
  <c r="AT81" i="1"/>
  <c r="AX39" i="1"/>
  <c r="AW34" i="1"/>
  <c r="AT46" i="1"/>
  <c r="AW74" i="1"/>
  <c r="AV74" i="1" s="1"/>
  <c r="AW156" i="1"/>
  <c r="AW162" i="1"/>
  <c r="AV162" i="1" s="1"/>
  <c r="AX165" i="1"/>
  <c r="AX246" i="1"/>
  <c r="BC246" i="1" s="1"/>
  <c r="BI225" i="1"/>
  <c r="AG225" i="1" s="1"/>
  <c r="AT218" i="1"/>
  <c r="AT174" i="1"/>
  <c r="AT43" i="1"/>
  <c r="I44" i="1"/>
  <c r="J252" i="1"/>
  <c r="AX247" i="1"/>
  <c r="J231" i="1"/>
  <c r="AT53" i="1"/>
  <c r="AT16" i="1"/>
  <c r="BH63" i="1"/>
  <c r="AB63" i="1" s="1"/>
  <c r="K57" i="1"/>
  <c r="G20" i="2" s="1"/>
  <c r="I20" i="2" s="1"/>
  <c r="AW158" i="1"/>
  <c r="BI165" i="1"/>
  <c r="AE165" i="1" s="1"/>
  <c r="AX244" i="1"/>
  <c r="BC208" i="1"/>
  <c r="AW192" i="1"/>
  <c r="J192" i="1"/>
  <c r="BI18" i="1"/>
  <c r="AC18" i="1" s="1"/>
  <c r="AU99" i="1"/>
  <c r="K182" i="1"/>
  <c r="G44" i="2" s="1"/>
  <c r="I44" i="2" s="1"/>
  <c r="BI67" i="1"/>
  <c r="AC67" i="1" s="1"/>
  <c r="BI20" i="1"/>
  <c r="AC20" i="1" s="1"/>
  <c r="AX15" i="1"/>
  <c r="BI256" i="1"/>
  <c r="BI227" i="1"/>
  <c r="AG227" i="1" s="1"/>
  <c r="BI226" i="1"/>
  <c r="AG226" i="1" s="1"/>
  <c r="BI207" i="1"/>
  <c r="AC207" i="1" s="1"/>
  <c r="BH54" i="1"/>
  <c r="AB54" i="1" s="1"/>
  <c r="BI47" i="1"/>
  <c r="AC47" i="1" s="1"/>
  <c r="AW153" i="1"/>
  <c r="BH212" i="1"/>
  <c r="AB212" i="1" s="1"/>
  <c r="BI262" i="1"/>
  <c r="AX118" i="1"/>
  <c r="AV118" i="1" s="1"/>
  <c r="J208" i="1"/>
  <c r="AW263" i="1"/>
  <c r="BI245" i="1"/>
  <c r="AG245" i="1" s="1"/>
  <c r="AW239" i="1"/>
  <c r="AV239" i="1" s="1"/>
  <c r="BI229" i="1"/>
  <c r="AC229" i="1" s="1"/>
  <c r="AW191" i="1"/>
  <c r="AX127" i="1"/>
  <c r="BI125" i="1"/>
  <c r="AE125" i="1" s="1"/>
  <c r="AW96" i="1"/>
  <c r="AV96" i="1" s="1"/>
  <c r="I71" i="1"/>
  <c r="I52" i="1"/>
  <c r="AS28" i="1"/>
  <c r="AX21" i="1"/>
  <c r="AV21" i="1" s="1"/>
  <c r="AW161" i="1"/>
  <c r="BC161" i="1" s="1"/>
  <c r="K189" i="1"/>
  <c r="G45" i="2" s="1"/>
  <c r="I45" i="2" s="1"/>
  <c r="AX262" i="1"/>
  <c r="BI236" i="1"/>
  <c r="AC236" i="1" s="1"/>
  <c r="K81" i="1"/>
  <c r="G25" i="2" s="1"/>
  <c r="I25" i="2" s="1"/>
  <c r="AX115" i="1"/>
  <c r="AX20" i="1"/>
  <c r="AX260" i="1"/>
  <c r="AX256" i="1"/>
  <c r="BH239" i="1"/>
  <c r="AF239" i="1" s="1"/>
  <c r="BI219" i="1"/>
  <c r="BI217" i="1"/>
  <c r="AX207" i="1"/>
  <c r="I203" i="1"/>
  <c r="AW197" i="1"/>
  <c r="BH191" i="1"/>
  <c r="AB191" i="1" s="1"/>
  <c r="AW170" i="1"/>
  <c r="I170" i="1"/>
  <c r="BI166" i="1"/>
  <c r="AU159" i="1"/>
  <c r="AU155" i="1"/>
  <c r="K19" i="1"/>
  <c r="G13" i="2" s="1"/>
  <c r="I13" i="2" s="1"/>
  <c r="J18" i="1"/>
  <c r="BC95" i="1"/>
  <c r="AV95" i="1"/>
  <c r="AT66" i="1"/>
  <c r="K91" i="1"/>
  <c r="G27" i="2" s="1"/>
  <c r="I27" i="2" s="1"/>
  <c r="BH177" i="1"/>
  <c r="K174" i="1"/>
  <c r="G42" i="2" s="1"/>
  <c r="I42" i="2" s="1"/>
  <c r="BH150" i="1"/>
  <c r="AD150" i="1" s="1"/>
  <c r="AX133" i="1"/>
  <c r="BI100" i="1"/>
  <c r="AE100" i="1" s="1"/>
  <c r="AU81" i="1"/>
  <c r="J84" i="1"/>
  <c r="AX70" i="1"/>
  <c r="BI38" i="1"/>
  <c r="AC38" i="1" s="1"/>
  <c r="BI93" i="1"/>
  <c r="AE93" i="1" s="1"/>
  <c r="BI79" i="1"/>
  <c r="AC79" i="1" s="1"/>
  <c r="AX161" i="1"/>
  <c r="BH247" i="1"/>
  <c r="AF247" i="1" s="1"/>
  <c r="AW247" i="1"/>
  <c r="AV247" i="1" s="1"/>
  <c r="I246" i="1"/>
  <c r="I229" i="1"/>
  <c r="AW225" i="1"/>
  <c r="AT209" i="1"/>
  <c r="BH207" i="1"/>
  <c r="AB207" i="1" s="1"/>
  <c r="AW207" i="1"/>
  <c r="AW175" i="1"/>
  <c r="AU46" i="1"/>
  <c r="AL21" i="1"/>
  <c r="AU19" i="1" s="1"/>
  <c r="AS16" i="1"/>
  <c r="AX14" i="1"/>
  <c r="AS171" i="1"/>
  <c r="AS159" i="1"/>
  <c r="J72" i="1"/>
  <c r="F23" i="2" s="1"/>
  <c r="AU152" i="1"/>
  <c r="K159" i="1"/>
  <c r="G39" i="2" s="1"/>
  <c r="I39" i="2" s="1"/>
  <c r="BI260" i="1"/>
  <c r="BH205" i="1"/>
  <c r="AB205" i="1" s="1"/>
  <c r="AW181" i="1"/>
  <c r="AV208" i="1"/>
  <c r="AX212" i="1"/>
  <c r="BI212" i="1"/>
  <c r="AC212" i="1" s="1"/>
  <c r="AW262" i="1"/>
  <c r="AW116" i="1"/>
  <c r="AV116" i="1" s="1"/>
  <c r="BH181" i="1"/>
  <c r="AB181" i="1" s="1"/>
  <c r="BC199" i="1"/>
  <c r="BI211" i="1"/>
  <c r="AC211" i="1" s="1"/>
  <c r="K209" i="1"/>
  <c r="G46" i="2" s="1"/>
  <c r="I46" i="2" s="1"/>
  <c r="BI252" i="1"/>
  <c r="BH246" i="1"/>
  <c r="AF246" i="1" s="1"/>
  <c r="AX240" i="1"/>
  <c r="I238" i="1"/>
  <c r="AX236" i="1"/>
  <c r="AS209" i="1"/>
  <c r="AS189" i="1"/>
  <c r="AT189" i="1"/>
  <c r="AT178" i="1"/>
  <c r="BH175" i="1"/>
  <c r="AD175" i="1" s="1"/>
  <c r="AW151" i="1"/>
  <c r="AX122" i="1"/>
  <c r="AX121" i="1"/>
  <c r="BI115" i="1"/>
  <c r="AE115" i="1" s="1"/>
  <c r="AS107" i="1"/>
  <c r="J98" i="1"/>
  <c r="BI69" i="1"/>
  <c r="AC69" i="1" s="1"/>
  <c r="BI64" i="1"/>
  <c r="AC64" i="1" s="1"/>
  <c r="AW31" i="1"/>
  <c r="AX27" i="1"/>
  <c r="BI24" i="1"/>
  <c r="AC24" i="1" s="1"/>
  <c r="BI14" i="1"/>
  <c r="AC14" i="1" s="1"/>
  <c r="BI173" i="1"/>
  <c r="AE173" i="1" s="1"/>
  <c r="J210" i="1"/>
  <c r="AX210" i="1"/>
  <c r="J196" i="1"/>
  <c r="AX196" i="1"/>
  <c r="AV192" i="1"/>
  <c r="J190" i="1"/>
  <c r="AX190" i="1"/>
  <c r="BI190" i="1"/>
  <c r="AC190" i="1" s="1"/>
  <c r="BI181" i="1"/>
  <c r="AC181" i="1" s="1"/>
  <c r="AX181" i="1"/>
  <c r="BC181" i="1" s="1"/>
  <c r="AX164" i="1"/>
  <c r="BI164" i="1"/>
  <c r="AE164" i="1" s="1"/>
  <c r="J140" i="1"/>
  <c r="AX140" i="1"/>
  <c r="AX137" i="1"/>
  <c r="BI137" i="1"/>
  <c r="AE137" i="1" s="1"/>
  <c r="I135" i="1"/>
  <c r="J36" i="1"/>
  <c r="BI36" i="1"/>
  <c r="AC36" i="1" s="1"/>
  <c r="I245" i="1"/>
  <c r="BH245" i="1"/>
  <c r="AF245" i="1" s="1"/>
  <c r="J230" i="1"/>
  <c r="AX230" i="1"/>
  <c r="AV230" i="1" s="1"/>
  <c r="J198" i="1"/>
  <c r="AX198" i="1"/>
  <c r="AV198" i="1" s="1"/>
  <c r="BI198" i="1"/>
  <c r="AC198" i="1" s="1"/>
  <c r="AT155" i="1"/>
  <c r="J153" i="1"/>
  <c r="AX153" i="1"/>
  <c r="BC153" i="1" s="1"/>
  <c r="AW88" i="1"/>
  <c r="I88" i="1"/>
  <c r="AU43" i="1"/>
  <c r="BH38" i="1"/>
  <c r="AB38" i="1" s="1"/>
  <c r="BH166" i="1"/>
  <c r="K46" i="1"/>
  <c r="G18" i="2" s="1"/>
  <c r="I18" i="2" s="1"/>
  <c r="J161" i="1"/>
  <c r="AV165" i="1"/>
  <c r="I165" i="1"/>
  <c r="BH201" i="1"/>
  <c r="AB201" i="1" s="1"/>
  <c r="J215" i="1"/>
  <c r="AX220" i="1"/>
  <c r="BC220" i="1" s="1"/>
  <c r="I262" i="1"/>
  <c r="AW245" i="1"/>
  <c r="AV245" i="1" s="1"/>
  <c r="I241" i="1"/>
  <c r="BH241" i="1"/>
  <c r="AF241" i="1" s="1"/>
  <c r="I236" i="1"/>
  <c r="BH236" i="1"/>
  <c r="AB236" i="1" s="1"/>
  <c r="BI210" i="1"/>
  <c r="AC210" i="1" s="1"/>
  <c r="AW185" i="1"/>
  <c r="I169" i="1"/>
  <c r="BH169" i="1"/>
  <c r="AD169" i="1" s="1"/>
  <c r="AX154" i="1"/>
  <c r="AV154" i="1" s="1"/>
  <c r="J154" i="1"/>
  <c r="AT152" i="1"/>
  <c r="I145" i="1"/>
  <c r="BH145" i="1"/>
  <c r="AD145" i="1" s="1"/>
  <c r="BI140" i="1"/>
  <c r="AE140" i="1" s="1"/>
  <c r="J134" i="1"/>
  <c r="AX134" i="1"/>
  <c r="I131" i="1"/>
  <c r="BH131" i="1"/>
  <c r="J123" i="1"/>
  <c r="AX123" i="1"/>
  <c r="J105" i="1"/>
  <c r="BI105" i="1"/>
  <c r="AE105" i="1" s="1"/>
  <c r="I18" i="1"/>
  <c r="BH18" i="1"/>
  <c r="AB18" i="1" s="1"/>
  <c r="AW138" i="1"/>
  <c r="BC138" i="1" s="1"/>
  <c r="I138" i="1"/>
  <c r="BH106" i="1"/>
  <c r="I100" i="1"/>
  <c r="I99" i="1" s="1"/>
  <c r="E28" i="2" s="1"/>
  <c r="AW100" i="1"/>
  <c r="J32" i="1"/>
  <c r="AX32" i="1"/>
  <c r="AW201" i="1"/>
  <c r="J238" i="1"/>
  <c r="AX238" i="1"/>
  <c r="BC238" i="1" s="1"/>
  <c r="I231" i="1"/>
  <c r="BH231" i="1"/>
  <c r="AB231" i="1" s="1"/>
  <c r="BI230" i="1"/>
  <c r="AC230" i="1" s="1"/>
  <c r="K155" i="1"/>
  <c r="G38" i="2" s="1"/>
  <c r="I38" i="2" s="1"/>
  <c r="AW166" i="1"/>
  <c r="AU189" i="1"/>
  <c r="AX261" i="1"/>
  <c r="J261" i="1"/>
  <c r="C20" i="4"/>
  <c r="C27" i="4"/>
  <c r="I233" i="1"/>
  <c r="BH233" i="1"/>
  <c r="AB233" i="1" s="1"/>
  <c r="AW231" i="1"/>
  <c r="AV231" i="1" s="1"/>
  <c r="AW229" i="1"/>
  <c r="BC229" i="1" s="1"/>
  <c r="J205" i="1"/>
  <c r="AX205" i="1"/>
  <c r="AV205" i="1" s="1"/>
  <c r="BI205" i="1"/>
  <c r="AC205" i="1" s="1"/>
  <c r="I193" i="1"/>
  <c r="BH193" i="1"/>
  <c r="AB193" i="1" s="1"/>
  <c r="BI191" i="1"/>
  <c r="AC191" i="1" s="1"/>
  <c r="AX191" i="1"/>
  <c r="I185" i="1"/>
  <c r="AX183" i="1"/>
  <c r="J183" i="1"/>
  <c r="BI177" i="1"/>
  <c r="AX177" i="1"/>
  <c r="AX173" i="1"/>
  <c r="J172" i="1"/>
  <c r="J171" i="1" s="1"/>
  <c r="F41" i="2" s="1"/>
  <c r="AX172" i="1"/>
  <c r="J147" i="1"/>
  <c r="AX147" i="1"/>
  <c r="I143" i="1"/>
  <c r="BH143" i="1"/>
  <c r="AD143" i="1" s="1"/>
  <c r="BI134" i="1"/>
  <c r="AE134" i="1" s="1"/>
  <c r="AW128" i="1"/>
  <c r="BI123" i="1"/>
  <c r="AE123" i="1" s="1"/>
  <c r="I117" i="1"/>
  <c r="BH117" i="1"/>
  <c r="AD117" i="1" s="1"/>
  <c r="AW117" i="1"/>
  <c r="AW61" i="1"/>
  <c r="I61" i="1"/>
  <c r="AW24" i="1"/>
  <c r="I24" i="1"/>
  <c r="I23" i="1" s="1"/>
  <c r="E14" i="2" s="1"/>
  <c r="BC215" i="1"/>
  <c r="AW253" i="1"/>
  <c r="BI246" i="1"/>
  <c r="AG246" i="1" s="1"/>
  <c r="J229" i="1"/>
  <c r="I214" i="1"/>
  <c r="BI192" i="1"/>
  <c r="AC192" i="1" s="1"/>
  <c r="AW179" i="1"/>
  <c r="AS178" i="1"/>
  <c r="BH173" i="1"/>
  <c r="AD173" i="1" s="1"/>
  <c r="AW173" i="1"/>
  <c r="BI150" i="1"/>
  <c r="AE150" i="1" s="1"/>
  <c r="AX150" i="1"/>
  <c r="BC150" i="1" s="1"/>
  <c r="AT136" i="1"/>
  <c r="AS132" i="1"/>
  <c r="AW130" i="1"/>
  <c r="BH126" i="1"/>
  <c r="AD126" i="1" s="1"/>
  <c r="AX125" i="1"/>
  <c r="AS114" i="1"/>
  <c r="AX112" i="1"/>
  <c r="AW101" i="1"/>
  <c r="AT99" i="1"/>
  <c r="K99" i="1"/>
  <c r="G28" i="2" s="1"/>
  <c r="I28" i="2" s="1"/>
  <c r="BH96" i="1"/>
  <c r="AD96" i="1" s="1"/>
  <c r="K87" i="1"/>
  <c r="G26" i="2" s="1"/>
  <c r="I26" i="2" s="1"/>
  <c r="AW69" i="1"/>
  <c r="AT60" i="1"/>
  <c r="AS46" i="1"/>
  <c r="BH27" i="1"/>
  <c r="AB27" i="1" s="1"/>
  <c r="AX24" i="1"/>
  <c r="AT103" i="1"/>
  <c r="AU33" i="1"/>
  <c r="AS174" i="1"/>
  <c r="AT132" i="1"/>
  <c r="AT107" i="1"/>
  <c r="K107" i="1"/>
  <c r="G30" i="2" s="1"/>
  <c r="I30" i="2" s="1"/>
  <c r="AS33" i="1"/>
  <c r="AT23" i="1"/>
  <c r="BI22" i="1"/>
  <c r="AC22" i="1" s="1"/>
  <c r="BC98" i="1"/>
  <c r="AV98" i="1"/>
  <c r="BC232" i="1"/>
  <c r="AV232" i="1"/>
  <c r="BH263" i="1"/>
  <c r="J232" i="1"/>
  <c r="AX213" i="1"/>
  <c r="BI213" i="1"/>
  <c r="AC213" i="1" s="1"/>
  <c r="J213" i="1"/>
  <c r="K178" i="1"/>
  <c r="G43" i="2" s="1"/>
  <c r="I43" i="2" s="1"/>
  <c r="AL179" i="1"/>
  <c r="AX175" i="1"/>
  <c r="AV175" i="1" s="1"/>
  <c r="BI175" i="1"/>
  <c r="AE175" i="1" s="1"/>
  <c r="AS152" i="1"/>
  <c r="J149" i="1"/>
  <c r="AX149" i="1"/>
  <c r="BI149" i="1"/>
  <c r="AE149" i="1" s="1"/>
  <c r="I144" i="1"/>
  <c r="BH144" i="1"/>
  <c r="AD144" i="1" s="1"/>
  <c r="J141" i="1"/>
  <c r="AL73" i="1"/>
  <c r="AU72" i="1" s="1"/>
  <c r="K72" i="1"/>
  <c r="G23" i="2" s="1"/>
  <c r="I23" i="2" s="1"/>
  <c r="AX71" i="1"/>
  <c r="BC71" i="1" s="1"/>
  <c r="BI71" i="1"/>
  <c r="AC71" i="1" s="1"/>
  <c r="J71" i="1"/>
  <c r="J66" i="1" s="1"/>
  <c r="F22" i="2" s="1"/>
  <c r="I260" i="1"/>
  <c r="AV215" i="1"/>
  <c r="J259" i="1"/>
  <c r="I258" i="1"/>
  <c r="BI248" i="1"/>
  <c r="AG248" i="1" s="1"/>
  <c r="AX248" i="1"/>
  <c r="BC245" i="1"/>
  <c r="BH240" i="1"/>
  <c r="AF240" i="1" s="1"/>
  <c r="AW240" i="1"/>
  <c r="J239" i="1"/>
  <c r="BI232" i="1"/>
  <c r="AC232" i="1" s="1"/>
  <c r="I232" i="1"/>
  <c r="BI223" i="1"/>
  <c r="AG223" i="1" s="1"/>
  <c r="AX223" i="1"/>
  <c r="AV223" i="1" s="1"/>
  <c r="I223" i="1"/>
  <c r="AX222" i="1"/>
  <c r="BI222" i="1"/>
  <c r="AG222" i="1" s="1"/>
  <c r="J222" i="1"/>
  <c r="BH217" i="1"/>
  <c r="I217" i="1"/>
  <c r="I216" i="1" s="1"/>
  <c r="E47" i="2" s="1"/>
  <c r="I213" i="1"/>
  <c r="AW213" i="1"/>
  <c r="AV213" i="1" s="1"/>
  <c r="AW194" i="1"/>
  <c r="BH194" i="1"/>
  <c r="AB194" i="1" s="1"/>
  <c r="I194" i="1"/>
  <c r="J185" i="1"/>
  <c r="AX185" i="1"/>
  <c r="BI185" i="1"/>
  <c r="AC185" i="1" s="1"/>
  <c r="J170" i="1"/>
  <c r="AX170" i="1"/>
  <c r="BI170" i="1"/>
  <c r="AE170" i="1" s="1"/>
  <c r="AX151" i="1"/>
  <c r="BI151" i="1"/>
  <c r="J151" i="1"/>
  <c r="BI141" i="1"/>
  <c r="AE141" i="1" s="1"/>
  <c r="AW134" i="1"/>
  <c r="BH134" i="1"/>
  <c r="AD134" i="1" s="1"/>
  <c r="I134" i="1"/>
  <c r="J113" i="1"/>
  <c r="BI113" i="1"/>
  <c r="AU103" i="1"/>
  <c r="AV199" i="1"/>
  <c r="BI259" i="1"/>
  <c r="J257" i="1"/>
  <c r="I254" i="1"/>
  <c r="BH248" i="1"/>
  <c r="AF248" i="1" s="1"/>
  <c r="AW248" i="1"/>
  <c r="BI243" i="1"/>
  <c r="AG243" i="1" s="1"/>
  <c r="J237" i="1"/>
  <c r="BI235" i="1"/>
  <c r="AC235" i="1" s="1"/>
  <c r="BH232" i="1"/>
  <c r="AB232" i="1" s="1"/>
  <c r="J228" i="1"/>
  <c r="BH225" i="1"/>
  <c r="AF225" i="1" s="1"/>
  <c r="BH223" i="1"/>
  <c r="AF223" i="1" s="1"/>
  <c r="I222" i="1"/>
  <c r="AW222" i="1"/>
  <c r="BH222" i="1"/>
  <c r="AF222" i="1" s="1"/>
  <c r="AL217" i="1"/>
  <c r="AU216" i="1" s="1"/>
  <c r="I206" i="1"/>
  <c r="AW206" i="1"/>
  <c r="BH206" i="1"/>
  <c r="AB206" i="1" s="1"/>
  <c r="AX203" i="1"/>
  <c r="BC203" i="1" s="1"/>
  <c r="BI203" i="1"/>
  <c r="AC203" i="1" s="1"/>
  <c r="J203" i="1"/>
  <c r="BI201" i="1"/>
  <c r="AC201" i="1" s="1"/>
  <c r="AX201" i="1"/>
  <c r="J201" i="1"/>
  <c r="J180" i="1"/>
  <c r="AX180" i="1"/>
  <c r="AX169" i="1"/>
  <c r="AV169" i="1" s="1"/>
  <c r="BI169" i="1"/>
  <c r="AE169" i="1" s="1"/>
  <c r="I168" i="1"/>
  <c r="I167" i="1" s="1"/>
  <c r="E40" i="2" s="1"/>
  <c r="BH168" i="1"/>
  <c r="AD168" i="1" s="1"/>
  <c r="I146" i="1"/>
  <c r="AW146" i="1"/>
  <c r="I142" i="1"/>
  <c r="AW142" i="1"/>
  <c r="BH142" i="1"/>
  <c r="AD142" i="1" s="1"/>
  <c r="AW127" i="1"/>
  <c r="AV127" i="1" s="1"/>
  <c r="I127" i="1"/>
  <c r="BH127" i="1"/>
  <c r="AD127" i="1" s="1"/>
  <c r="AW122" i="1"/>
  <c r="BH122" i="1"/>
  <c r="AD122" i="1" s="1"/>
  <c r="I122" i="1"/>
  <c r="BH260" i="1"/>
  <c r="BH259" i="1"/>
  <c r="AW259" i="1"/>
  <c r="BC259" i="1" s="1"/>
  <c r="BI258" i="1"/>
  <c r="AX258" i="1"/>
  <c r="BC258" i="1" s="1"/>
  <c r="BI257" i="1"/>
  <c r="AW257" i="1"/>
  <c r="BC257" i="1" s="1"/>
  <c r="J245" i="1"/>
  <c r="BH244" i="1"/>
  <c r="AF244" i="1" s="1"/>
  <c r="BI239" i="1"/>
  <c r="AG239" i="1" s="1"/>
  <c r="BI238" i="1"/>
  <c r="AG238" i="1" s="1"/>
  <c r="BI237" i="1"/>
  <c r="AC237" i="1" s="1"/>
  <c r="AW237" i="1"/>
  <c r="BC237" i="1" s="1"/>
  <c r="BI231" i="1"/>
  <c r="AC231" i="1" s="1"/>
  <c r="BH230" i="1"/>
  <c r="AB230" i="1" s="1"/>
  <c r="I230" i="1"/>
  <c r="BI228" i="1"/>
  <c r="AC228" i="1" s="1"/>
  <c r="I220" i="1"/>
  <c r="BH220" i="1"/>
  <c r="AW217" i="1"/>
  <c r="I215" i="1"/>
  <c r="BH215" i="1"/>
  <c r="AB215" i="1" s="1"/>
  <c r="BI214" i="1"/>
  <c r="AC214" i="1" s="1"/>
  <c r="AX214" i="1"/>
  <c r="AV214" i="1" s="1"/>
  <c r="I211" i="1"/>
  <c r="AW211" i="1"/>
  <c r="AX197" i="1"/>
  <c r="BI197" i="1"/>
  <c r="AC197" i="1" s="1"/>
  <c r="J197" i="1"/>
  <c r="I195" i="1"/>
  <c r="BH195" i="1"/>
  <c r="AB195" i="1" s="1"/>
  <c r="I183" i="1"/>
  <c r="I182" i="1" s="1"/>
  <c r="E44" i="2" s="1"/>
  <c r="AW183" i="1"/>
  <c r="BH183" i="1"/>
  <c r="AB183" i="1" s="1"/>
  <c r="J175" i="1"/>
  <c r="J174" i="1" s="1"/>
  <c r="F42" i="2" s="1"/>
  <c r="J160" i="1"/>
  <c r="AX160" i="1"/>
  <c r="BI160" i="1"/>
  <c r="AE160" i="1" s="1"/>
  <c r="J143" i="1"/>
  <c r="BI143" i="1"/>
  <c r="AE143" i="1" s="1"/>
  <c r="I137" i="1"/>
  <c r="BH137" i="1"/>
  <c r="AD137" i="1" s="1"/>
  <c r="AW137" i="1"/>
  <c r="K132" i="1"/>
  <c r="G34" i="2" s="1"/>
  <c r="I34" i="2" s="1"/>
  <c r="AL133" i="1"/>
  <c r="AU132" i="1" s="1"/>
  <c r="BI58" i="1"/>
  <c r="AC58" i="1" s="1"/>
  <c r="J58" i="1"/>
  <c r="J57" i="1" s="1"/>
  <c r="F20" i="2" s="1"/>
  <c r="AX58" i="1"/>
  <c r="BH210" i="1"/>
  <c r="AB210" i="1" s="1"/>
  <c r="AW210" i="1"/>
  <c r="I208" i="1"/>
  <c r="BI206" i="1"/>
  <c r="AC206" i="1" s="1"/>
  <c r="AX206" i="1"/>
  <c r="I205" i="1"/>
  <c r="I198" i="1"/>
  <c r="J195" i="1"/>
  <c r="AW187" i="1"/>
  <c r="BI183" i="1"/>
  <c r="AC183" i="1" s="1"/>
  <c r="AL183" i="1"/>
  <c r="AU182" i="1" s="1"/>
  <c r="I174" i="1"/>
  <c r="E42" i="2" s="1"/>
  <c r="BH172" i="1"/>
  <c r="AD172" i="1" s="1"/>
  <c r="AW172" i="1"/>
  <c r="K171" i="1"/>
  <c r="G41" i="2" s="1"/>
  <c r="I41" i="2" s="1"/>
  <c r="K167" i="1"/>
  <c r="G40" i="2" s="1"/>
  <c r="I40" i="2" s="1"/>
  <c r="AW164" i="1"/>
  <c r="I164" i="1"/>
  <c r="BH161" i="1"/>
  <c r="AD161" i="1" s="1"/>
  <c r="I148" i="1"/>
  <c r="E36" i="2" s="1"/>
  <c r="BH147" i="1"/>
  <c r="AW147" i="1"/>
  <c r="AX146" i="1"/>
  <c r="BC146" i="1" s="1"/>
  <c r="BI142" i="1"/>
  <c r="AE142" i="1" s="1"/>
  <c r="AX142" i="1"/>
  <c r="J139" i="1"/>
  <c r="BI139" i="1"/>
  <c r="AE139" i="1" s="1"/>
  <c r="AS136" i="1"/>
  <c r="J138" i="1"/>
  <c r="AX138" i="1"/>
  <c r="BI138" i="1"/>
  <c r="AE138" i="1" s="1"/>
  <c r="BH133" i="1"/>
  <c r="AD133" i="1" s="1"/>
  <c r="AW133" i="1"/>
  <c r="I121" i="1"/>
  <c r="BH121" i="1"/>
  <c r="AD121" i="1" s="1"/>
  <c r="AS119" i="1"/>
  <c r="AX101" i="1"/>
  <c r="BI101" i="1"/>
  <c r="AE101" i="1" s="1"/>
  <c r="AS99" i="1"/>
  <c r="BI95" i="1"/>
  <c r="AE95" i="1" s="1"/>
  <c r="J95" i="1"/>
  <c r="AU91" i="1"/>
  <c r="AS72" i="1"/>
  <c r="AV71" i="1"/>
  <c r="K66" i="1"/>
  <c r="G22" i="2" s="1"/>
  <c r="I22" i="2" s="1"/>
  <c r="AL68" i="1"/>
  <c r="AU66" i="1" s="1"/>
  <c r="J17" i="1"/>
  <c r="BI17" i="1"/>
  <c r="AC17" i="1" s="1"/>
  <c r="AS218" i="1"/>
  <c r="K218" i="1"/>
  <c r="G48" i="2" s="1"/>
  <c r="I48" i="2" s="1"/>
  <c r="BH196" i="1"/>
  <c r="AB196" i="1" s="1"/>
  <c r="BI195" i="1"/>
  <c r="AC195" i="1" s="1"/>
  <c r="AX194" i="1"/>
  <c r="BH187" i="1"/>
  <c r="AB187" i="1" s="1"/>
  <c r="AS182" i="1"/>
  <c r="AT182" i="1"/>
  <c r="AU178" i="1"/>
  <c r="AL175" i="1"/>
  <c r="AU174" i="1" s="1"/>
  <c r="BC170" i="1"/>
  <c r="AT167" i="1"/>
  <c r="BI168" i="1"/>
  <c r="AE168" i="1" s="1"/>
  <c r="AX168" i="1"/>
  <c r="AS167" i="1"/>
  <c r="AX158" i="1"/>
  <c r="BC158" i="1" s="1"/>
  <c r="AS155" i="1"/>
  <c r="AT148" i="1"/>
  <c r="K148" i="1"/>
  <c r="G36" i="2" s="1"/>
  <c r="I36" i="2" s="1"/>
  <c r="BI146" i="1"/>
  <c r="AE146" i="1" s="1"/>
  <c r="BI144" i="1"/>
  <c r="AE144" i="1" s="1"/>
  <c r="AX144" i="1"/>
  <c r="J135" i="1"/>
  <c r="BI135" i="1"/>
  <c r="AX131" i="1"/>
  <c r="BC131" i="1" s="1"/>
  <c r="BI131" i="1"/>
  <c r="J131" i="1"/>
  <c r="J108" i="1"/>
  <c r="BI108" i="1"/>
  <c r="AE108" i="1" s="1"/>
  <c r="BH82" i="1"/>
  <c r="AD82" i="1" s="1"/>
  <c r="AW82" i="1"/>
  <c r="I82" i="1"/>
  <c r="K53" i="1"/>
  <c r="G19" i="2" s="1"/>
  <c r="I19" i="2" s="1"/>
  <c r="AL54" i="1"/>
  <c r="AU53" i="1" s="1"/>
  <c r="I39" i="1"/>
  <c r="BH39" i="1"/>
  <c r="AB39" i="1" s="1"/>
  <c r="BC193" i="1"/>
  <c r="I171" i="1"/>
  <c r="E41" i="2" s="1"/>
  <c r="J167" i="1"/>
  <c r="F40" i="2" s="1"/>
  <c r="K152" i="1"/>
  <c r="G37" i="2" s="1"/>
  <c r="I37" i="2" s="1"/>
  <c r="AS148" i="1"/>
  <c r="I140" i="1"/>
  <c r="BH140" i="1"/>
  <c r="AD140" i="1" s="1"/>
  <c r="J129" i="1"/>
  <c r="AX129" i="1"/>
  <c r="BI129" i="1"/>
  <c r="AE129" i="1" s="1"/>
  <c r="AW123" i="1"/>
  <c r="BH123" i="1"/>
  <c r="AD123" i="1" s="1"/>
  <c r="I123" i="1"/>
  <c r="AT114" i="1"/>
  <c r="J109" i="1"/>
  <c r="AX109" i="1"/>
  <c r="BI109" i="1"/>
  <c r="AE109" i="1" s="1"/>
  <c r="AT91" i="1"/>
  <c r="AW90" i="1"/>
  <c r="AV90" i="1" s="1"/>
  <c r="BH90" i="1"/>
  <c r="I90" i="1"/>
  <c r="AX88" i="1"/>
  <c r="BC88" i="1" s="1"/>
  <c r="BI88" i="1"/>
  <c r="AE88" i="1" s="1"/>
  <c r="J88" i="1"/>
  <c r="BH86" i="1"/>
  <c r="AW86" i="1"/>
  <c r="I86" i="1"/>
  <c r="AX41" i="1"/>
  <c r="BI41" i="1"/>
  <c r="AC41" i="1" s="1"/>
  <c r="J41" i="1"/>
  <c r="J31" i="1"/>
  <c r="AX31" i="1"/>
  <c r="BI31" i="1"/>
  <c r="AC31" i="1" s="1"/>
  <c r="J29" i="1"/>
  <c r="AX29" i="1"/>
  <c r="BI29" i="1"/>
  <c r="AC29" i="1" s="1"/>
  <c r="I22" i="1"/>
  <c r="I19" i="1" s="1"/>
  <c r="E13" i="2" s="1"/>
  <c r="BH22" i="1"/>
  <c r="AB22" i="1" s="1"/>
  <c r="BH141" i="1"/>
  <c r="AD141" i="1" s="1"/>
  <c r="AW141" i="1"/>
  <c r="AV141" i="1" s="1"/>
  <c r="AW139" i="1"/>
  <c r="BI130" i="1"/>
  <c r="AE130" i="1" s="1"/>
  <c r="AX130" i="1"/>
  <c r="AT119" i="1"/>
  <c r="AW113" i="1"/>
  <c r="AS110" i="1"/>
  <c r="AS103" i="1"/>
  <c r="BH101" i="1"/>
  <c r="AD101" i="1" s="1"/>
  <c r="BH88" i="1"/>
  <c r="AD88" i="1" s="1"/>
  <c r="AS87" i="1"/>
  <c r="AW84" i="1"/>
  <c r="AT72" i="1"/>
  <c r="BH71" i="1"/>
  <c r="AB71" i="1" s="1"/>
  <c r="AT28" i="1"/>
  <c r="BI27" i="1"/>
  <c r="AC27" i="1" s="1"/>
  <c r="AU12" i="1"/>
  <c r="K136" i="1"/>
  <c r="G35" i="2" s="1"/>
  <c r="I35" i="2" s="1"/>
  <c r="J137" i="1"/>
  <c r="BH128" i="1"/>
  <c r="AD128" i="1" s="1"/>
  <c r="BI126" i="1"/>
  <c r="AE126" i="1" s="1"/>
  <c r="BH125" i="1"/>
  <c r="AD125" i="1" s="1"/>
  <c r="BI124" i="1"/>
  <c r="AE124" i="1" s="1"/>
  <c r="K119" i="1"/>
  <c r="G33" i="2" s="1"/>
  <c r="I33" i="2" s="1"/>
  <c r="BI117" i="1"/>
  <c r="AE117" i="1" s="1"/>
  <c r="BI106" i="1"/>
  <c r="AX106" i="1"/>
  <c r="AS91" i="1"/>
  <c r="AL79" i="1"/>
  <c r="AU78" i="1" s="1"/>
  <c r="AW73" i="1"/>
  <c r="AV73" i="1" s="1"/>
  <c r="BH70" i="1"/>
  <c r="AB70" i="1" s="1"/>
  <c r="BH69" i="1"/>
  <c r="AB69" i="1" s="1"/>
  <c r="I56" i="1"/>
  <c r="AS53" i="1"/>
  <c r="I54" i="1"/>
  <c r="I50" i="1"/>
  <c r="I46" i="1" s="1"/>
  <c r="E18" i="2" s="1"/>
  <c r="K43" i="1"/>
  <c r="G17" i="2" s="1"/>
  <c r="I17" i="2" s="1"/>
  <c r="BH34" i="1"/>
  <c r="AB34" i="1" s="1"/>
  <c r="BH32" i="1"/>
  <c r="AB32" i="1" s="1"/>
  <c r="AW32" i="1"/>
  <c r="BC32" i="1" s="1"/>
  <c r="I28" i="1"/>
  <c r="E15" i="2" s="1"/>
  <c r="AW27" i="1"/>
  <c r="BI25" i="1"/>
  <c r="AC25" i="1" s="1"/>
  <c r="AX25" i="1"/>
  <c r="BH24" i="1"/>
  <c r="AB24" i="1" s="1"/>
  <c r="K12" i="1"/>
  <c r="G11" i="2" s="1"/>
  <c r="I11" i="2" s="1"/>
  <c r="J126" i="1"/>
  <c r="AT110" i="1"/>
  <c r="K103" i="1"/>
  <c r="G29" i="2" s="1"/>
  <c r="I29" i="2" s="1"/>
  <c r="AT87" i="1"/>
  <c r="AS81" i="1"/>
  <c r="AS60" i="1"/>
  <c r="AS43" i="1"/>
  <c r="AT33" i="1"/>
  <c r="K33" i="1"/>
  <c r="G16" i="2" s="1"/>
  <c r="I16" i="2" s="1"/>
  <c r="AT19" i="1"/>
  <c r="BH20" i="1"/>
  <c r="AB20" i="1" s="1"/>
  <c r="AS19" i="1"/>
  <c r="J15" i="1"/>
  <c r="J12" i="1" s="1"/>
  <c r="F11" i="2" s="1"/>
  <c r="BC13" i="1"/>
  <c r="AV13" i="1"/>
  <c r="C21" i="4"/>
  <c r="BI13" i="1"/>
  <c r="AC13" i="1" s="1"/>
  <c r="BH13" i="1"/>
  <c r="AB13" i="1" s="1"/>
  <c r="B33" i="6"/>
  <c r="I12" i="7"/>
  <c r="I61" i="7" s="1"/>
  <c r="H61" i="7"/>
  <c r="C32" i="6" s="1"/>
  <c r="C5" i="6"/>
  <c r="J242" i="1"/>
  <c r="AX242" i="1"/>
  <c r="BI242" i="1"/>
  <c r="AG242" i="1" s="1"/>
  <c r="C28" i="4"/>
  <c r="F28" i="4" s="1"/>
  <c r="AV115" i="1"/>
  <c r="BC115" i="1"/>
  <c r="I242" i="1"/>
  <c r="AW242" i="1"/>
  <c r="BH242" i="1"/>
  <c r="AF242" i="1" s="1"/>
  <c r="I261" i="1"/>
  <c r="AW261" i="1"/>
  <c r="I243" i="1"/>
  <c r="AW243" i="1"/>
  <c r="BH243" i="1"/>
  <c r="AF243" i="1" s="1"/>
  <c r="I255" i="1"/>
  <c r="AW255" i="1"/>
  <c r="BH255" i="1"/>
  <c r="BC165" i="1"/>
  <c r="BC260" i="1"/>
  <c r="AV260" i="1"/>
  <c r="I235" i="1"/>
  <c r="AW235" i="1"/>
  <c r="BH235" i="1"/>
  <c r="AB235" i="1" s="1"/>
  <c r="F14" i="4"/>
  <c r="F22" i="4" s="1"/>
  <c r="I18" i="5"/>
  <c r="AU209" i="1"/>
  <c r="AL258" i="1"/>
  <c r="AU251" i="1" s="1"/>
  <c r="K251" i="1"/>
  <c r="G51" i="2" s="1"/>
  <c r="I51" i="2" s="1"/>
  <c r="I256" i="1"/>
  <c r="AW256" i="1"/>
  <c r="AW252" i="1"/>
  <c r="I252" i="1"/>
  <c r="BC239" i="1"/>
  <c r="AV237" i="1"/>
  <c r="AT251" i="1"/>
  <c r="AS221" i="1"/>
  <c r="K221" i="1"/>
  <c r="G49" i="2" s="1"/>
  <c r="I49" i="2" s="1"/>
  <c r="J255" i="1"/>
  <c r="AX255" i="1"/>
  <c r="BI253" i="1"/>
  <c r="AX253" i="1"/>
  <c r="AT221" i="1"/>
  <c r="AV203" i="1"/>
  <c r="AX263" i="1"/>
  <c r="BI263" i="1"/>
  <c r="AV258" i="1"/>
  <c r="J241" i="1"/>
  <c r="AX241" i="1"/>
  <c r="AV241" i="1" s="1"/>
  <c r="J234" i="1"/>
  <c r="AX234" i="1"/>
  <c r="AS251" i="1"/>
  <c r="J254" i="1"/>
  <c r="AX254" i="1"/>
  <c r="BC254" i="1" s="1"/>
  <c r="I234" i="1"/>
  <c r="AW234" i="1"/>
  <c r="J233" i="1"/>
  <c r="AX233" i="1"/>
  <c r="AV233" i="1" s="1"/>
  <c r="AW244" i="1"/>
  <c r="AX243" i="1"/>
  <c r="AW236" i="1"/>
  <c r="AX235" i="1"/>
  <c r="AW228" i="1"/>
  <c r="AX227" i="1"/>
  <c r="AL219" i="1"/>
  <c r="AU218" i="1" s="1"/>
  <c r="AW196" i="1"/>
  <c r="I190" i="1"/>
  <c r="AW190" i="1"/>
  <c r="J179" i="1"/>
  <c r="AX179" i="1"/>
  <c r="AU171" i="1"/>
  <c r="AW227" i="1"/>
  <c r="AX226" i="1"/>
  <c r="AL222" i="1"/>
  <c r="AU221" i="1" s="1"/>
  <c r="AX219" i="1"/>
  <c r="AV219" i="1" s="1"/>
  <c r="BI208" i="1"/>
  <c r="AC208" i="1" s="1"/>
  <c r="AW195" i="1"/>
  <c r="J187" i="1"/>
  <c r="AX187" i="1"/>
  <c r="AT171" i="1"/>
  <c r="AU114" i="1"/>
  <c r="AW226" i="1"/>
  <c r="AX225" i="1"/>
  <c r="AV225" i="1" s="1"/>
  <c r="I219" i="1"/>
  <c r="BI194" i="1"/>
  <c r="AC194" i="1" s="1"/>
  <c r="J193" i="1"/>
  <c r="BC192" i="1"/>
  <c r="BI179" i="1"/>
  <c r="AC179" i="1" s="1"/>
  <c r="BC126" i="1"/>
  <c r="J220" i="1"/>
  <c r="J218" i="1" s="1"/>
  <c r="F48" i="2" s="1"/>
  <c r="I199" i="1"/>
  <c r="AV193" i="1"/>
  <c r="BH219" i="1"/>
  <c r="BI193" i="1"/>
  <c r="AC193" i="1" s="1"/>
  <c r="I180" i="1"/>
  <c r="I178" i="1" s="1"/>
  <c r="E43" i="2" s="1"/>
  <c r="AW180" i="1"/>
  <c r="J181" i="1"/>
  <c r="AL168" i="1"/>
  <c r="AU167" i="1" s="1"/>
  <c r="AX166" i="1"/>
  <c r="AW160" i="1"/>
  <c r="J158" i="1"/>
  <c r="AL149" i="1"/>
  <c r="AU148" i="1" s="1"/>
  <c r="AW144" i="1"/>
  <c r="AX143" i="1"/>
  <c r="AL140" i="1"/>
  <c r="AU136" i="1" s="1"/>
  <c r="AX135" i="1"/>
  <c r="AV126" i="1"/>
  <c r="AW125" i="1"/>
  <c r="AX124" i="1"/>
  <c r="AL121" i="1"/>
  <c r="AU119" i="1" s="1"/>
  <c r="AX117" i="1"/>
  <c r="AX113" i="1"/>
  <c r="J104" i="1"/>
  <c r="AX104" i="1"/>
  <c r="BC104" i="1" s="1"/>
  <c r="AS66" i="1"/>
  <c r="AU60" i="1"/>
  <c r="J34" i="1"/>
  <c r="AX34" i="1"/>
  <c r="K23" i="1"/>
  <c r="G14" i="2" s="1"/>
  <c r="I14" i="2" s="1"/>
  <c r="AL24" i="1"/>
  <c r="AU23" i="1" s="1"/>
  <c r="BC169" i="1"/>
  <c r="AW163" i="1"/>
  <c r="BH146" i="1"/>
  <c r="AD146" i="1" s="1"/>
  <c r="BI145" i="1"/>
  <c r="AE145" i="1" s="1"/>
  <c r="J145" i="1"/>
  <c r="BC130" i="1"/>
  <c r="I115" i="1"/>
  <c r="K114" i="1"/>
  <c r="G32" i="2" s="1"/>
  <c r="I32" i="2" s="1"/>
  <c r="I112" i="1"/>
  <c r="AW112" i="1"/>
  <c r="I108" i="1"/>
  <c r="I107" i="1" s="1"/>
  <c r="E30" i="2" s="1"/>
  <c r="AW108" i="1"/>
  <c r="AU28" i="1"/>
  <c r="I17" i="1"/>
  <c r="AW17" i="1"/>
  <c r="J163" i="1"/>
  <c r="BI162" i="1"/>
  <c r="AE162" i="1" s="1"/>
  <c r="BI156" i="1"/>
  <c r="AE156" i="1" s="1"/>
  <c r="I154" i="1"/>
  <c r="I152" i="1" s="1"/>
  <c r="E37" i="2" s="1"/>
  <c r="BI153" i="1"/>
  <c r="AE153" i="1" s="1"/>
  <c r="J118" i="1"/>
  <c r="J116" i="1"/>
  <c r="J111" i="1"/>
  <c r="AX111" i="1"/>
  <c r="AU107" i="1"/>
  <c r="AW76" i="1"/>
  <c r="BH76" i="1"/>
  <c r="AB76" i="1" s="1"/>
  <c r="I76" i="1"/>
  <c r="I72" i="1" s="1"/>
  <c r="E23" i="2" s="1"/>
  <c r="I67" i="1"/>
  <c r="AW67" i="1"/>
  <c r="J19" i="1"/>
  <c r="F13" i="2" s="1"/>
  <c r="AU16" i="1"/>
  <c r="I111" i="1"/>
  <c r="AW111" i="1"/>
  <c r="I93" i="1"/>
  <c r="AW93" i="1"/>
  <c r="AX82" i="1"/>
  <c r="J82" i="1"/>
  <c r="I57" i="1"/>
  <c r="E20" i="2" s="1"/>
  <c r="I45" i="1"/>
  <c r="I43" i="1" s="1"/>
  <c r="E17" i="2" s="1"/>
  <c r="AW45" i="1"/>
  <c r="AW168" i="1"/>
  <c r="I163" i="1"/>
  <c r="BH153" i="1"/>
  <c r="AD153" i="1" s="1"/>
  <c r="AW149" i="1"/>
  <c r="AW140" i="1"/>
  <c r="AX139" i="1"/>
  <c r="AW129" i="1"/>
  <c r="AX128" i="1"/>
  <c r="AW121" i="1"/>
  <c r="AX120" i="1"/>
  <c r="K110" i="1"/>
  <c r="G31" i="2" s="1"/>
  <c r="I31" i="2" s="1"/>
  <c r="AU110" i="1"/>
  <c r="BI104" i="1"/>
  <c r="AE104" i="1" s="1"/>
  <c r="I98" i="1"/>
  <c r="BH98" i="1"/>
  <c r="J92" i="1"/>
  <c r="AX92" i="1"/>
  <c r="AV92" i="1" s="1"/>
  <c r="J44" i="1"/>
  <c r="J43" i="1" s="1"/>
  <c r="F17" i="2" s="1"/>
  <c r="AX44" i="1"/>
  <c r="AV44" i="1" s="1"/>
  <c r="J156" i="1"/>
  <c r="AW120" i="1"/>
  <c r="BH108" i="1"/>
  <c r="AD108" i="1" s="1"/>
  <c r="BI82" i="1"/>
  <c r="AE82" i="1" s="1"/>
  <c r="I79" i="1"/>
  <c r="I78" i="1" s="1"/>
  <c r="E24" i="2" s="1"/>
  <c r="AW79" i="1"/>
  <c r="K28" i="1"/>
  <c r="G15" i="2" s="1"/>
  <c r="I15" i="2" s="1"/>
  <c r="AS23" i="1"/>
  <c r="J23" i="1"/>
  <c r="F14" i="2" s="1"/>
  <c r="BH17" i="1"/>
  <c r="AB17" i="1" s="1"/>
  <c r="BI111" i="1"/>
  <c r="AE111" i="1" s="1"/>
  <c r="AX86" i="1"/>
  <c r="BI86" i="1"/>
  <c r="J86" i="1"/>
  <c r="BH67" i="1"/>
  <c r="AB67" i="1" s="1"/>
  <c r="I64" i="1"/>
  <c r="AW64" i="1"/>
  <c r="J61" i="1"/>
  <c r="J60" i="1" s="1"/>
  <c r="F21" i="2" s="1"/>
  <c r="AX61" i="1"/>
  <c r="I55" i="1"/>
  <c r="AW55" i="1"/>
  <c r="J54" i="1"/>
  <c r="J53" i="1" s="1"/>
  <c r="F19" i="2" s="1"/>
  <c r="AX54" i="1"/>
  <c r="AV54" i="1" s="1"/>
  <c r="AX52" i="1"/>
  <c r="AV52" i="1" s="1"/>
  <c r="BI52" i="1"/>
  <c r="AC52" i="1" s="1"/>
  <c r="J52" i="1"/>
  <c r="BH111" i="1"/>
  <c r="AD111" i="1" s="1"/>
  <c r="I105" i="1"/>
  <c r="AW105" i="1"/>
  <c r="BC54" i="1"/>
  <c r="J50" i="1"/>
  <c r="AX50" i="1"/>
  <c r="BC50" i="1" s="1"/>
  <c r="AX48" i="1"/>
  <c r="BC48" i="1" s="1"/>
  <c r="BI48" i="1"/>
  <c r="AC48" i="1" s="1"/>
  <c r="J48" i="1"/>
  <c r="AW41" i="1"/>
  <c r="I41" i="1"/>
  <c r="BH41" i="1"/>
  <c r="AB41" i="1" s="1"/>
  <c r="I36" i="1"/>
  <c r="AW36" i="1"/>
  <c r="I104" i="1"/>
  <c r="J96" i="1"/>
  <c r="I92" i="1"/>
  <c r="J90" i="1"/>
  <c r="K60" i="1"/>
  <c r="G21" i="2" s="1"/>
  <c r="I21" i="2" s="1"/>
  <c r="K16" i="1"/>
  <c r="AW14" i="1"/>
  <c r="I13" i="1"/>
  <c r="I12" i="1" s="1"/>
  <c r="E11" i="2" s="1"/>
  <c r="I84" i="1"/>
  <c r="AW70" i="1"/>
  <c r="AX69" i="1"/>
  <c r="AW56" i="1"/>
  <c r="AW15" i="1"/>
  <c r="BH100" i="1"/>
  <c r="AD100" i="1" s="1"/>
  <c r="AX68" i="1"/>
  <c r="AX65" i="1"/>
  <c r="AX47" i="1"/>
  <c r="AW39" i="1"/>
  <c r="AX38" i="1"/>
  <c r="AW29" i="1"/>
  <c r="AW109" i="1"/>
  <c r="AX108" i="1"/>
  <c r="AW106" i="1"/>
  <c r="AX105" i="1"/>
  <c r="AX93" i="1"/>
  <c r="AL88" i="1"/>
  <c r="AU87" i="1" s="1"/>
  <c r="AX79" i="1"/>
  <c r="AW68" i="1"/>
  <c r="AX67" i="1"/>
  <c r="AW65" i="1"/>
  <c r="AX64" i="1"/>
  <c r="AW63" i="1"/>
  <c r="BI56" i="1"/>
  <c r="AC56" i="1" s="1"/>
  <c r="AX56" i="1"/>
  <c r="AX55" i="1"/>
  <c r="AW47" i="1"/>
  <c r="AX45" i="1"/>
  <c r="AW38" i="1"/>
  <c r="AX36" i="1"/>
  <c r="AW25" i="1"/>
  <c r="AW20" i="1"/>
  <c r="AX17" i="1"/>
  <c r="BH14" i="1"/>
  <c r="AB14" i="1" s="1"/>
  <c r="J101" i="1"/>
  <c r="J99" i="1" s="1"/>
  <c r="F28" i="2" s="1"/>
  <c r="AX22" i="1"/>
  <c r="AW18" i="1"/>
  <c r="BH15" i="1"/>
  <c r="AB15" i="1" s="1"/>
  <c r="AX100" i="1"/>
  <c r="BC90" i="1" l="1"/>
  <c r="AV32" i="1"/>
  <c r="I66" i="1"/>
  <c r="E22" i="2" s="1"/>
  <c r="AV246" i="1"/>
  <c r="J209" i="1"/>
  <c r="F46" i="2" s="1"/>
  <c r="BC74" i="1"/>
  <c r="J159" i="1"/>
  <c r="F39" i="2" s="1"/>
  <c r="I132" i="1"/>
  <c r="E34" i="2" s="1"/>
  <c r="BC207" i="1"/>
  <c r="AV177" i="1"/>
  <c r="I103" i="1"/>
  <c r="E29" i="2" s="1"/>
  <c r="BC247" i="1"/>
  <c r="AV212" i="1"/>
  <c r="AV238" i="1"/>
  <c r="AV210" i="1"/>
  <c r="BC118" i="1"/>
  <c r="AV34" i="1"/>
  <c r="BC175" i="1"/>
  <c r="AV101" i="1"/>
  <c r="AV133" i="1"/>
  <c r="BC162" i="1"/>
  <c r="BC177" i="1"/>
  <c r="AV207" i="1"/>
  <c r="AV161" i="1"/>
  <c r="BC191" i="1"/>
  <c r="AV185" i="1"/>
  <c r="I209" i="1"/>
  <c r="E46" i="2" s="1"/>
  <c r="AV172" i="1"/>
  <c r="J33" i="1"/>
  <c r="F16" i="2" s="1"/>
  <c r="BC172" i="1"/>
  <c r="AV170" i="1"/>
  <c r="AV153" i="1"/>
  <c r="I33" i="1"/>
  <c r="E16" i="2" s="1"/>
  <c r="I60" i="1"/>
  <c r="E21" i="2" s="1"/>
  <c r="AV191" i="1"/>
  <c r="BC231" i="1"/>
  <c r="AV31" i="1"/>
  <c r="BC262" i="1"/>
  <c r="BC69" i="1"/>
  <c r="I114" i="1"/>
  <c r="E32" i="2" s="1"/>
  <c r="J107" i="1"/>
  <c r="F30" i="2" s="1"/>
  <c r="AV151" i="1"/>
  <c r="BC222" i="1"/>
  <c r="AV24" i="1"/>
  <c r="AV138" i="1"/>
  <c r="BC122" i="1"/>
  <c r="AV156" i="1"/>
  <c r="BC156" i="1"/>
  <c r="I81" i="1"/>
  <c r="E25" i="2" s="1"/>
  <c r="BC197" i="1"/>
  <c r="I119" i="1"/>
  <c r="E33" i="2" s="1"/>
  <c r="BC206" i="1"/>
  <c r="BC151" i="1"/>
  <c r="BC21" i="1"/>
  <c r="AV100" i="1"/>
  <c r="I53" i="1"/>
  <c r="E19" i="2" s="1"/>
  <c r="AV86" i="1"/>
  <c r="AV88" i="1"/>
  <c r="BC154" i="1"/>
  <c r="AV229" i="1"/>
  <c r="BC214" i="1"/>
  <c r="BC253" i="1"/>
  <c r="BC198" i="1"/>
  <c r="BC185" i="1"/>
  <c r="BC101" i="1"/>
  <c r="J132" i="1"/>
  <c r="F34" i="2" s="1"/>
  <c r="AV137" i="1"/>
  <c r="AV262" i="1"/>
  <c r="J103" i="1"/>
  <c r="F29" i="2" s="1"/>
  <c r="BC210" i="1"/>
  <c r="BC96" i="1"/>
  <c r="J16" i="1"/>
  <c r="F12" i="2" s="1"/>
  <c r="BC147" i="1"/>
  <c r="BC173" i="1"/>
  <c r="AV183" i="1"/>
  <c r="J28" i="1"/>
  <c r="F15" i="2" s="1"/>
  <c r="BC205" i="1"/>
  <c r="AV194" i="1"/>
  <c r="J152" i="1"/>
  <c r="F37" i="2" s="1"/>
  <c r="AV150" i="1"/>
  <c r="AV104" i="1"/>
  <c r="J119" i="1"/>
  <c r="F33" i="2" s="1"/>
  <c r="BC61" i="1"/>
  <c r="BC139" i="1"/>
  <c r="I16" i="1"/>
  <c r="E12" i="2" s="1"/>
  <c r="BC133" i="1"/>
  <c r="I218" i="1"/>
  <c r="E48" i="2" s="1"/>
  <c r="BC127" i="1"/>
  <c r="AV254" i="1"/>
  <c r="AV253" i="1"/>
  <c r="AV122" i="1"/>
  <c r="BC212" i="1"/>
  <c r="BC24" i="1"/>
  <c r="BC116" i="1"/>
  <c r="C17" i="4"/>
  <c r="I159" i="1"/>
  <c r="E39" i="2" s="1"/>
  <c r="J136" i="1"/>
  <c r="F35" i="2" s="1"/>
  <c r="J182" i="1"/>
  <c r="F44" i="2" s="1"/>
  <c r="AV259" i="1"/>
  <c r="AV197" i="1"/>
  <c r="AV257" i="1"/>
  <c r="AV173" i="1"/>
  <c r="J189" i="1"/>
  <c r="F45" i="2" s="1"/>
  <c r="AV220" i="1"/>
  <c r="BC31" i="1"/>
  <c r="AV130" i="1"/>
  <c r="AV222" i="1"/>
  <c r="BC183" i="1"/>
  <c r="J87" i="1"/>
  <c r="F26" i="2" s="1"/>
  <c r="BC92" i="1"/>
  <c r="BC128" i="1"/>
  <c r="BC141" i="1"/>
  <c r="BC230" i="1"/>
  <c r="AV158" i="1"/>
  <c r="AV147" i="1"/>
  <c r="BC137" i="1"/>
  <c r="AV181" i="1"/>
  <c r="BC34" i="1"/>
  <c r="J110" i="1"/>
  <c r="F31" i="2" s="1"/>
  <c r="I87" i="1"/>
  <c r="E26" i="2" s="1"/>
  <c r="BC194" i="1"/>
  <c r="BC100" i="1"/>
  <c r="I189" i="1"/>
  <c r="E45" i="2" s="1"/>
  <c r="J221" i="1"/>
  <c r="F49" i="2" s="1"/>
  <c r="I251" i="1"/>
  <c r="E51" i="2" s="1"/>
  <c r="BC84" i="1"/>
  <c r="AV84" i="1"/>
  <c r="AV211" i="1"/>
  <c r="BC211" i="1"/>
  <c r="AV201" i="1"/>
  <c r="BC201" i="1"/>
  <c r="BC134" i="1"/>
  <c r="AV134" i="1"/>
  <c r="J148" i="1"/>
  <c r="F36" i="2" s="1"/>
  <c r="BC213" i="1"/>
  <c r="BC223" i="1"/>
  <c r="AV48" i="1"/>
  <c r="BC123" i="1"/>
  <c r="AV123" i="1"/>
  <c r="BC164" i="1"/>
  <c r="AV164" i="1"/>
  <c r="AV146" i="1"/>
  <c r="C16" i="4"/>
  <c r="AV61" i="1"/>
  <c r="AV69" i="1"/>
  <c r="I110" i="1"/>
  <c r="E31" i="2" s="1"/>
  <c r="J178" i="1"/>
  <c r="F43" i="2" s="1"/>
  <c r="I221" i="1"/>
  <c r="E49" i="2" s="1"/>
  <c r="J251" i="1"/>
  <c r="F51" i="2" s="1"/>
  <c r="AV131" i="1"/>
  <c r="BC58" i="1"/>
  <c r="AV58" i="1"/>
  <c r="I136" i="1"/>
  <c r="E35" i="2" s="1"/>
  <c r="AV217" i="1"/>
  <c r="BC217" i="1"/>
  <c r="AV206" i="1"/>
  <c r="BC248" i="1"/>
  <c r="AV248" i="1"/>
  <c r="BC233" i="1"/>
  <c r="AV27" i="1"/>
  <c r="BC27" i="1"/>
  <c r="BC73" i="1"/>
  <c r="BC142" i="1"/>
  <c r="AV142" i="1"/>
  <c r="BC240" i="1"/>
  <c r="AV240" i="1"/>
  <c r="C6" i="6"/>
  <c r="C7" i="6" s="1"/>
  <c r="BC20" i="1"/>
  <c r="AV20" i="1"/>
  <c r="AV70" i="1"/>
  <c r="BC70" i="1"/>
  <c r="BC41" i="1"/>
  <c r="AV41" i="1"/>
  <c r="AV112" i="1"/>
  <c r="BC112" i="1"/>
  <c r="BC125" i="1"/>
  <c r="AV125" i="1"/>
  <c r="AV106" i="1"/>
  <c r="BC106" i="1"/>
  <c r="BC22" i="1"/>
  <c r="AV22" i="1"/>
  <c r="AV109" i="1"/>
  <c r="BC109" i="1"/>
  <c r="AV79" i="1"/>
  <c r="BC79" i="1"/>
  <c r="AV120" i="1"/>
  <c r="BC120" i="1"/>
  <c r="BC82" i="1"/>
  <c r="AV82" i="1"/>
  <c r="AV108" i="1"/>
  <c r="BC108" i="1"/>
  <c r="BC144" i="1"/>
  <c r="AV144" i="1"/>
  <c r="AV195" i="1"/>
  <c r="BC195" i="1"/>
  <c r="AV39" i="1"/>
  <c r="BC39" i="1"/>
  <c r="I91" i="1"/>
  <c r="E27" i="2" s="1"/>
  <c r="J155" i="1"/>
  <c r="F38" i="2" s="1"/>
  <c r="AV129" i="1"/>
  <c r="BC129" i="1"/>
  <c r="BC44" i="1"/>
  <c r="AV67" i="1"/>
  <c r="BC67" i="1"/>
  <c r="J114" i="1"/>
  <c r="F32" i="2" s="1"/>
  <c r="BC124" i="1"/>
  <c r="AV124" i="1"/>
  <c r="AV179" i="1"/>
  <c r="BC179" i="1"/>
  <c r="BC228" i="1"/>
  <c r="AV228" i="1"/>
  <c r="AV234" i="1"/>
  <c r="BC234" i="1"/>
  <c r="BC241" i="1"/>
  <c r="AV25" i="1"/>
  <c r="BC25" i="1"/>
  <c r="BC63" i="1"/>
  <c r="AV63" i="1"/>
  <c r="J46" i="1"/>
  <c r="F18" i="2" s="1"/>
  <c r="AV64" i="1"/>
  <c r="BC64" i="1"/>
  <c r="BC86" i="1"/>
  <c r="AV140" i="1"/>
  <c r="BC140" i="1"/>
  <c r="AV93" i="1"/>
  <c r="BC93" i="1"/>
  <c r="BC160" i="1"/>
  <c r="AV160" i="1"/>
  <c r="BC190" i="1"/>
  <c r="AV190" i="1"/>
  <c r="BC236" i="1"/>
  <c r="AV236" i="1"/>
  <c r="AV263" i="1"/>
  <c r="BC263" i="1"/>
  <c r="BC252" i="1"/>
  <c r="AV252" i="1"/>
  <c r="BC219" i="1"/>
  <c r="BC243" i="1"/>
  <c r="AV243" i="1"/>
  <c r="AV242" i="1"/>
  <c r="BC242" i="1"/>
  <c r="BC135" i="1"/>
  <c r="AV135" i="1"/>
  <c r="BC256" i="1"/>
  <c r="AV256" i="1"/>
  <c r="AV45" i="1"/>
  <c r="BC45" i="1"/>
  <c r="C15" i="4"/>
  <c r="AV166" i="1"/>
  <c r="BC166" i="1"/>
  <c r="BC18" i="1"/>
  <c r="AV18" i="1"/>
  <c r="AV38" i="1"/>
  <c r="BC38" i="1"/>
  <c r="AV65" i="1"/>
  <c r="BC65" i="1"/>
  <c r="AV14" i="1"/>
  <c r="BC14" i="1"/>
  <c r="AV149" i="1"/>
  <c r="BC149" i="1"/>
  <c r="AV111" i="1"/>
  <c r="BC111" i="1"/>
  <c r="AV76" i="1"/>
  <c r="BC76" i="1"/>
  <c r="AV139" i="1"/>
  <c r="BC227" i="1"/>
  <c r="AV227" i="1"/>
  <c r="BC244" i="1"/>
  <c r="AV244" i="1"/>
  <c r="BC261" i="1"/>
  <c r="AV261" i="1"/>
  <c r="G12" i="2"/>
  <c r="I12" i="2" s="1"/>
  <c r="AV36" i="1"/>
  <c r="BC36" i="1"/>
  <c r="AV105" i="1"/>
  <c r="BC105" i="1"/>
  <c r="AV50" i="1"/>
  <c r="BC113" i="1"/>
  <c r="AV113" i="1"/>
  <c r="AV128" i="1"/>
  <c r="AV187" i="1"/>
  <c r="BC187" i="1"/>
  <c r="BC196" i="1"/>
  <c r="AV196" i="1"/>
  <c r="BC255" i="1"/>
  <c r="AV255" i="1"/>
  <c r="AV47" i="1"/>
  <c r="BC47" i="1"/>
  <c r="AV68" i="1"/>
  <c r="BC68" i="1"/>
  <c r="AV29" i="1"/>
  <c r="BC29" i="1"/>
  <c r="AV15" i="1"/>
  <c r="BC15" i="1"/>
  <c r="AV55" i="1"/>
  <c r="BC55" i="1"/>
  <c r="AV121" i="1"/>
  <c r="BC121" i="1"/>
  <c r="J81" i="1"/>
  <c r="F25" i="2" s="1"/>
  <c r="BC163" i="1"/>
  <c r="AV163" i="1"/>
  <c r="BC117" i="1"/>
  <c r="AV117" i="1"/>
  <c r="BC143" i="1"/>
  <c r="AV143" i="1"/>
  <c r="BC180" i="1"/>
  <c r="AV180" i="1"/>
  <c r="BC225" i="1"/>
  <c r="BC235" i="1"/>
  <c r="AV235" i="1"/>
  <c r="BC52" i="1"/>
  <c r="C14" i="4"/>
  <c r="BC56" i="1"/>
  <c r="AV56" i="1"/>
  <c r="J91" i="1"/>
  <c r="F27" i="2" s="1"/>
  <c r="AV168" i="1"/>
  <c r="BC168" i="1"/>
  <c r="AV17" i="1"/>
  <c r="BC17" i="1"/>
  <c r="AV226" i="1"/>
  <c r="BC226" i="1"/>
  <c r="C8" i="6" l="1"/>
  <c r="C12" i="6" s="1"/>
  <c r="C16" i="6" s="1"/>
  <c r="C24" i="6" s="1"/>
  <c r="B25" i="6" l="1"/>
  <c r="C25" i="6" s="1"/>
  <c r="C27" i="6" s="1"/>
  <c r="H250" i="1"/>
  <c r="K250" i="1" l="1"/>
  <c r="BJ250" i="1"/>
  <c r="AO250" i="1"/>
  <c r="AP250" i="1"/>
  <c r="BD250" i="1"/>
  <c r="AX250" i="1" l="1"/>
  <c r="J250" i="1"/>
  <c r="J249" i="1" s="1"/>
  <c r="F50" i="2" s="1"/>
  <c r="BI250" i="1"/>
  <c r="AG250" i="1" s="1"/>
  <c r="C19" i="4" s="1"/>
  <c r="AW250" i="1"/>
  <c r="BH250" i="1"/>
  <c r="AF250" i="1" s="1"/>
  <c r="C18" i="4" s="1"/>
  <c r="I250" i="1"/>
  <c r="I249" i="1" s="1"/>
  <c r="E50" i="2" s="1"/>
  <c r="AL250" i="1"/>
  <c r="AU249" i="1" s="1"/>
  <c r="K249" i="1"/>
  <c r="BC250" i="1" l="1"/>
  <c r="G50" i="2"/>
  <c r="I50" i="2" s="1"/>
  <c r="G53" i="2" s="1"/>
  <c r="K264" i="1"/>
  <c r="C22" i="4"/>
  <c r="H21" i="5" s="1"/>
  <c r="I21" i="5" s="1"/>
  <c r="AV250" i="1"/>
  <c r="I27" i="5" l="1"/>
  <c r="F29" i="5" s="1"/>
  <c r="I14" i="4"/>
  <c r="I22" i="4" s="1"/>
  <c r="C29" i="4" s="1"/>
  <c r="L145" i="1"/>
  <c r="L148" i="1"/>
  <c r="L242" i="1"/>
  <c r="L238" i="1"/>
  <c r="L68" i="1"/>
  <c r="L19" i="1"/>
  <c r="L226" i="1"/>
  <c r="L119" i="1"/>
  <c r="L71" i="1"/>
  <c r="L23" i="1"/>
  <c r="L121" i="1"/>
  <c r="L151" i="1"/>
  <c r="L159" i="1"/>
  <c r="L167" i="1"/>
  <c r="L149" i="1"/>
  <c r="L256" i="1"/>
  <c r="L72" i="1"/>
  <c r="L181" i="1"/>
  <c r="L131" i="1"/>
  <c r="L29" i="1"/>
  <c r="L163" i="1"/>
  <c r="L32" i="1"/>
  <c r="L134" i="1"/>
  <c r="L165" i="1"/>
  <c r="L55" i="1"/>
  <c r="L124" i="1"/>
  <c r="L108" i="1"/>
  <c r="L245" i="1"/>
  <c r="L180" i="1"/>
  <c r="L70" i="1"/>
  <c r="L33" i="1"/>
  <c r="L101" i="1"/>
  <c r="L22" i="1"/>
  <c r="L231" i="1"/>
  <c r="L117" i="1"/>
  <c r="L147" i="1"/>
  <c r="L229" i="1"/>
  <c r="L216" i="1"/>
  <c r="L112" i="1"/>
  <c r="L214" i="1"/>
  <c r="L263" i="1"/>
  <c r="L129" i="1"/>
  <c r="L105" i="1"/>
  <c r="L221" i="1"/>
  <c r="L128" i="1"/>
  <c r="L125" i="1"/>
  <c r="L64" i="1"/>
  <c r="L155" i="1"/>
  <c r="L257" i="1"/>
  <c r="L132" i="1"/>
  <c r="L251" i="1"/>
  <c r="L46" i="1"/>
  <c r="L152" i="1"/>
  <c r="L24" i="1"/>
  <c r="L187" i="1"/>
  <c r="L208" i="1"/>
  <c r="L185" i="1"/>
  <c r="L247" i="1"/>
  <c r="L192" i="1"/>
  <c r="L139" i="1"/>
  <c r="L197" i="1"/>
  <c r="L164" i="1"/>
  <c r="L93" i="1"/>
  <c r="L86" i="1"/>
  <c r="L45" i="1"/>
  <c r="L172" i="1"/>
  <c r="L235" i="1"/>
  <c r="L13" i="1"/>
  <c r="L246" i="1"/>
  <c r="L41" i="1"/>
  <c r="L255" i="1"/>
  <c r="L104" i="1"/>
  <c r="L95" i="1"/>
  <c r="L58" i="1"/>
  <c r="L244" i="1"/>
  <c r="L63" i="1"/>
  <c r="L57" i="1"/>
  <c r="L189" i="1"/>
  <c r="L177" i="1"/>
  <c r="L88" i="1"/>
  <c r="L127" i="1"/>
  <c r="L243" i="1"/>
  <c r="L213" i="1"/>
  <c r="L207" i="1"/>
  <c r="L98" i="1"/>
  <c r="L162" i="1"/>
  <c r="L260" i="1"/>
  <c r="L82" i="1"/>
  <c r="L65" i="1"/>
  <c r="L96" i="1"/>
  <c r="L54" i="1"/>
  <c r="L73" i="1"/>
  <c r="L114" i="1"/>
  <c r="L199" i="1"/>
  <c r="L261" i="1"/>
  <c r="L169" i="1"/>
  <c r="L220" i="1"/>
  <c r="L254" i="1"/>
  <c r="L218" i="1"/>
  <c r="L239" i="1"/>
  <c r="L47" i="1"/>
  <c r="L115" i="1"/>
  <c r="L209" i="1"/>
  <c r="L241" i="1"/>
  <c r="L106" i="1"/>
  <c r="L78" i="1"/>
  <c r="L81" i="1"/>
  <c r="L111" i="1"/>
  <c r="L175" i="1"/>
  <c r="L15" i="1"/>
  <c r="L252" i="1"/>
  <c r="L50" i="1"/>
  <c r="L48" i="1"/>
  <c r="L196" i="1"/>
  <c r="L250" i="1"/>
  <c r="L66" i="1"/>
  <c r="L168" i="1"/>
  <c r="L110" i="1"/>
  <c r="L240" i="1"/>
  <c r="L140" i="1"/>
  <c r="L166" i="1"/>
  <c r="L16" i="1"/>
  <c r="L258" i="1"/>
  <c r="L138" i="1"/>
  <c r="L194" i="1"/>
  <c r="L130" i="1"/>
  <c r="L92" i="1"/>
  <c r="L198" i="1"/>
  <c r="L173" i="1"/>
  <c r="L27" i="1"/>
  <c r="L60" i="1"/>
  <c r="L53" i="1"/>
  <c r="L248" i="1"/>
  <c r="L103" i="1"/>
  <c r="L211" i="1"/>
  <c r="L228" i="1"/>
  <c r="L137" i="1"/>
  <c r="L118" i="1"/>
  <c r="L203" i="1"/>
  <c r="L201" i="1"/>
  <c r="L136" i="1"/>
  <c r="L142" i="1"/>
  <c r="L79" i="1"/>
  <c r="L215" i="1"/>
  <c r="L34" i="1"/>
  <c r="L160" i="1"/>
  <c r="L193" i="1"/>
  <c r="L212" i="1"/>
  <c r="L120" i="1"/>
  <c r="L210" i="1"/>
  <c r="L150" i="1"/>
  <c r="L38" i="1"/>
  <c r="L113" i="1"/>
  <c r="L90" i="1"/>
  <c r="L44" i="1"/>
  <c r="L14" i="1"/>
  <c r="L25" i="1"/>
  <c r="L141" i="1"/>
  <c r="L31" i="1"/>
  <c r="L262" i="1"/>
  <c r="L234" i="1"/>
  <c r="L222" i="1"/>
  <c r="L21" i="1"/>
  <c r="L28" i="1"/>
  <c r="L223" i="1"/>
  <c r="L143" i="1"/>
  <c r="L171" i="1"/>
  <c r="L232" i="1"/>
  <c r="L135" i="1"/>
  <c r="L227" i="1"/>
  <c r="L219" i="1"/>
  <c r="L156" i="1"/>
  <c r="L133" i="1"/>
  <c r="L99" i="1"/>
  <c r="L107" i="1"/>
  <c r="L123" i="1"/>
  <c r="L146" i="1"/>
  <c r="L18" i="1"/>
  <c r="L230" i="1"/>
  <c r="L144" i="1"/>
  <c r="L182" i="1"/>
  <c r="L76" i="1"/>
  <c r="L225" i="1"/>
  <c r="L191" i="1"/>
  <c r="L195" i="1"/>
  <c r="L74" i="1"/>
  <c r="L217" i="1"/>
  <c r="L233" i="1"/>
  <c r="L205" i="1"/>
  <c r="L170" i="1"/>
  <c r="L178" i="1"/>
  <c r="L67" i="1"/>
  <c r="L69" i="1"/>
  <c r="L12" i="1"/>
  <c r="L161" i="1"/>
  <c r="L17" i="1"/>
  <c r="L43" i="1"/>
  <c r="L259" i="1"/>
  <c r="L61" i="1"/>
  <c r="L190" i="1"/>
  <c r="L237" i="1"/>
  <c r="L91" i="1"/>
  <c r="L87" i="1"/>
  <c r="L100" i="1"/>
  <c r="L36" i="1"/>
  <c r="L122" i="1"/>
  <c r="L236" i="1"/>
  <c r="L174" i="1"/>
  <c r="L126" i="1"/>
  <c r="L253" i="1"/>
  <c r="L84" i="1"/>
  <c r="L116" i="1"/>
  <c r="L52" i="1"/>
  <c r="L153" i="1"/>
  <c r="L206" i="1"/>
  <c r="L20" i="1"/>
  <c r="L56" i="1"/>
  <c r="L154" i="1"/>
  <c r="L249" i="1"/>
  <c r="L39" i="1"/>
  <c r="L183" i="1"/>
  <c r="L179" i="1"/>
  <c r="L158" i="1"/>
  <c r="L109" i="1"/>
  <c r="F29" i="4" l="1"/>
  <c r="I28" i="4"/>
  <c r="I29" i="4" l="1"/>
</calcChain>
</file>

<file path=xl/sharedStrings.xml><?xml version="1.0" encoding="utf-8"?>
<sst xmlns="http://schemas.openxmlformats.org/spreadsheetml/2006/main" count="3643" uniqueCount="1148">
  <si>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</si>
  <si>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</si>
  <si>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</si>
  <si>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</si>
  <si>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</si>
  <si>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</si>
  <si>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</si>
  <si>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</si>
  <si>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</si>
  <si>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</si>
  <si>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</si>
  <si>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</si>
  <si>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</si>
  <si>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</si>
  <si>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</si>
  <si>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</si>
  <si>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</si>
  <si>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</si>
  <si>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</si>
  <si>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</si>
  <si>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</si>
  <si>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</si>
  <si>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</si>
  <si>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</si>
  <si>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</si>
  <si>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</si>
  <si>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</si>
  <si>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</si>
  <si>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</si>
  <si>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</si>
  <si>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</si>
  <si>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</si>
  <si>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</si>
  <si>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</si>
  <si>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</si>
  <si>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</si>
  <si>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</si>
  <si>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</si>
  <si>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</si>
  <si>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</si>
  <si>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</si>
  <si>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</si>
  <si>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</si>
  <si>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</si>
  <si>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</si>
  <si>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</si>
  <si>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</si>
  <si>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</si>
  <si>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</si>
  <si>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</si>
  <si>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</si>
  <si>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</si>
  <si>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</si>
  <si>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</si>
  <si>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</si>
  <si>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</si>
  <si>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</si>
  <si>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</si>
  <si>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</si>
  <si>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</si>
  <si>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</si>
  <si>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</si>
  <si>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</si>
  <si>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</si>
  <si>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</si>
  <si>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</si>
  <si>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</si>
  <si>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</si>
  <si>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</si>
  <si>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</si>
  <si>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</si>
  <si>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</si>
  <si>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</si>
  <si>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</si>
  <si>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</si>
  <si>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</si>
  <si>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</si>
  <si>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</si>
  <si>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</si>
  <si>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</si>
  <si>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</si>
  <si>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</si>
  <si>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</si>
  <si>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</si>
  <si>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</si>
  <si>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</si>
  <si>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</si>
  <si>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</si>
  <si>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</si>
  <si>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</si>
  <si>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</si>
  <si>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</si>
  <si>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</si>
  <si>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</si>
  <si>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</si>
  <si>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</si>
  <si>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</si>
  <si>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</si>
  <si>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</si>
  <si>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</si>
  <si>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</si>
  <si>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</si>
  <si>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</si>
  <si>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</si>
  <si>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</si>
  <si>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</si>
  <si>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</si>
  <si>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</si>
  <si>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</si>
  <si>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</si>
  <si>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</si>
  <si>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</si>
  <si>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</si>
  <si>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</si>
  <si>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</si>
  <si>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</si>
  <si>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</si>
  <si>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</si>
  <si>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</si>
  <si>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</si>
  <si>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</si>
  <si>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</si>
  <si>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</si>
  <si>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</si>
  <si>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</si>
  <si>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</si>
  <si>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</si>
  <si>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</si>
  <si>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</si>
  <si>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</si>
  <si>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</si>
  <si>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</si>
  <si>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</si>
  <si>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</si>
  <si>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</si>
  <si>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</si>
  <si>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</si>
  <si>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</si>
  <si>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</si>
  <si>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</si>
  <si>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</si>
  <si>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</si>
  <si>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</si>
  <si>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</si>
  <si>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</si>
  <si>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</si>
  <si>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</si>
  <si>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</si>
  <si>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</si>
  <si>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</si>
  <si>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</si>
  <si>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</si>
  <si>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</si>
  <si>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</si>
  <si>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</si>
  <si>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</si>
  <si>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</si>
  <si>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</si>
  <si>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</si>
  <si>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</si>
  <si>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</si>
  <si>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</si>
  <si>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</si>
  <si>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</si>
  <si>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</si>
  <si>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</si>
  <si>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</si>
  <si>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</si>
  <si>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</si>
  <si>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</si>
  <si>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</si>
  <si>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</si>
  <si>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</si>
  <si>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</si>
  <si>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</si>
  <si>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</si>
  <si>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</si>
  <si>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</si>
  <si>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</si>
  <si>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</si>
  <si>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</si>
  <si>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</si>
  <si>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</si>
  <si>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</si>
  <si>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</si>
  <si>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</si>
  <si>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</si>
  <si>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</si>
  <si>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</si>
  <si>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</si>
  <si>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</si>
  <si>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Poznámka:</t>
  </si>
  <si>
    <t>Výkaz výměr je zpracován na základě DSP, VÝBĚR STAVBY 08/2018. Popis prací není vyčerpávající, je souhrnný, tzn. že poskytuje ucelený přehled o rozsahu dodávky pomocí položek, které mají vliv na celkovou cenu díla. Je pouze částí dokumentace. Přiložený výpis prvků je informativní, případná neúplnost a nepřesnosti neovlivní celkovou cenu díla. Nabízející má povinnost si vše zkontrolovat a upozornit na nepřesnosti v rámci nabídkového řízení._x000D_
V cenové nabídce musejí být zohledněny všechny rozpočtové náklady spojené s dokončením a předáním díla bez vad a nedodělků.</t>
  </si>
  <si>
    <t>Kód</t>
  </si>
  <si>
    <t>113108305R00</t>
  </si>
  <si>
    <t>113152112R00</t>
  </si>
  <si>
    <t>113109310R00</t>
  </si>
  <si>
    <t>132201110R00</t>
  </si>
  <si>
    <t>132201210R00</t>
  </si>
  <si>
    <t>162701105R00</t>
  </si>
  <si>
    <t>97902VD</t>
  </si>
  <si>
    <t>162701109R00</t>
  </si>
  <si>
    <t>174101101R00</t>
  </si>
  <si>
    <t>175101101RT2</t>
  </si>
  <si>
    <t>58153305</t>
  </si>
  <si>
    <t>273310030RAA</t>
  </si>
  <si>
    <t>274313611R00</t>
  </si>
  <si>
    <t>274351111R00</t>
  </si>
  <si>
    <t>311230050RAB</t>
  </si>
  <si>
    <t>311230052RAB</t>
  </si>
  <si>
    <t>311231126R00</t>
  </si>
  <si>
    <t>317100013RAA</t>
  </si>
  <si>
    <t>317100012RAA</t>
  </si>
  <si>
    <t>416021122R00</t>
  </si>
  <si>
    <t>416021124R00</t>
  </si>
  <si>
    <t>567211110R00</t>
  </si>
  <si>
    <t>564861111RT4</t>
  </si>
  <si>
    <t>564851113RT2</t>
  </si>
  <si>
    <t>564962115R00</t>
  </si>
  <si>
    <t>577131311R00</t>
  </si>
  <si>
    <t>573211111R00</t>
  </si>
  <si>
    <t>572942112R00</t>
  </si>
  <si>
    <t>597071122RU1</t>
  </si>
  <si>
    <t>612409991RT2</t>
  </si>
  <si>
    <t>612421637R00</t>
  </si>
  <si>
    <t>610991002R00</t>
  </si>
  <si>
    <t>610991111R00</t>
  </si>
  <si>
    <t>622421131R00</t>
  </si>
  <si>
    <t>622412312RT1</t>
  </si>
  <si>
    <t>622432111R00</t>
  </si>
  <si>
    <t>620991002R00</t>
  </si>
  <si>
    <t>620991121R00</t>
  </si>
  <si>
    <t>631313621R00</t>
  </si>
  <si>
    <t>631361921RT4</t>
  </si>
  <si>
    <t>713121118RU1</t>
  </si>
  <si>
    <t>648991113RT2</t>
  </si>
  <si>
    <t>711</t>
  </si>
  <si>
    <t>711111001RZ1</t>
  </si>
  <si>
    <t>711141559RZ1</t>
  </si>
  <si>
    <t>998711101R00</t>
  </si>
  <si>
    <t>712</t>
  </si>
  <si>
    <t>712300831RT2</t>
  </si>
  <si>
    <t>998712101R00</t>
  </si>
  <si>
    <t>713</t>
  </si>
  <si>
    <t>713101121R00</t>
  </si>
  <si>
    <t>713111211RK5</t>
  </si>
  <si>
    <t>63151375.A</t>
  </si>
  <si>
    <t>713111121RT1</t>
  </si>
  <si>
    <t>998713101R00</t>
  </si>
  <si>
    <t>721</t>
  </si>
  <si>
    <t>721176223R00</t>
  </si>
  <si>
    <t>721242110RT2</t>
  </si>
  <si>
    <t>725</t>
  </si>
  <si>
    <t>725290010RA0</t>
  </si>
  <si>
    <t>725290020RA0</t>
  </si>
  <si>
    <t>998725101R00</t>
  </si>
  <si>
    <t>728</t>
  </si>
  <si>
    <t>42972855</t>
  </si>
  <si>
    <t>728415111R00</t>
  </si>
  <si>
    <t>732</t>
  </si>
  <si>
    <t>54141000</t>
  </si>
  <si>
    <t>732299101R00</t>
  </si>
  <si>
    <t>998732101R00</t>
  </si>
  <si>
    <t>763</t>
  </si>
  <si>
    <t>61106VD</t>
  </si>
  <si>
    <t>61107VD</t>
  </si>
  <si>
    <t>763791101R00</t>
  </si>
  <si>
    <t>998763101R00</t>
  </si>
  <si>
    <t>764</t>
  </si>
  <si>
    <t>764410850R00</t>
  </si>
  <si>
    <t>764311822R00</t>
  </si>
  <si>
    <t>764352810R00</t>
  </si>
  <si>
    <t>764454803R00</t>
  </si>
  <si>
    <t>5535085830</t>
  </si>
  <si>
    <t>764918101R00</t>
  </si>
  <si>
    <t>764918332R00</t>
  </si>
  <si>
    <t>764908102R00</t>
  </si>
  <si>
    <t>764908105R00</t>
  </si>
  <si>
    <t>764908110R00</t>
  </si>
  <si>
    <t>764908301R00</t>
  </si>
  <si>
    <t>998764101R00</t>
  </si>
  <si>
    <t>765</t>
  </si>
  <si>
    <t>765901185R00</t>
  </si>
  <si>
    <t>765421810R00</t>
  </si>
  <si>
    <t>998765101R00</t>
  </si>
  <si>
    <t>766</t>
  </si>
  <si>
    <t>61143582</t>
  </si>
  <si>
    <t>61143588</t>
  </si>
  <si>
    <t>766629301R00</t>
  </si>
  <si>
    <t>61143592</t>
  </si>
  <si>
    <t>766629302R00</t>
  </si>
  <si>
    <t>2835527952</t>
  </si>
  <si>
    <t>2835527934</t>
  </si>
  <si>
    <t>63479037</t>
  </si>
  <si>
    <t>0014VD</t>
  </si>
  <si>
    <t>0012VLASTNIVD</t>
  </si>
  <si>
    <t>998766101R00</t>
  </si>
  <si>
    <t>767</t>
  </si>
  <si>
    <t>553VD</t>
  </si>
  <si>
    <t>767657310R00</t>
  </si>
  <si>
    <t>998767101R00</t>
  </si>
  <si>
    <t>771</t>
  </si>
  <si>
    <t>771578011R00</t>
  </si>
  <si>
    <t>771579795R00</t>
  </si>
  <si>
    <t>776</t>
  </si>
  <si>
    <t>776511810RT2</t>
  </si>
  <si>
    <t>998776101R00</t>
  </si>
  <si>
    <t>777</t>
  </si>
  <si>
    <t>24551561</t>
  </si>
  <si>
    <t>777615213R01V</t>
  </si>
  <si>
    <t>24551504</t>
  </si>
  <si>
    <t>777551482R01V</t>
  </si>
  <si>
    <t>245515041</t>
  </si>
  <si>
    <t>777695113R01V</t>
  </si>
  <si>
    <t>998777101R00</t>
  </si>
  <si>
    <t>783</t>
  </si>
  <si>
    <t>783614200R00</t>
  </si>
  <si>
    <t>783103811R00</t>
  </si>
  <si>
    <t>783114530R00</t>
  </si>
  <si>
    <t>784</t>
  </si>
  <si>
    <t>784191101R00</t>
  </si>
  <si>
    <t>784195412R00</t>
  </si>
  <si>
    <t>786</t>
  </si>
  <si>
    <t>786622211RT2</t>
  </si>
  <si>
    <t>998786101R00</t>
  </si>
  <si>
    <t>919735111R00</t>
  </si>
  <si>
    <t>919735123R00</t>
  </si>
  <si>
    <t>919735112R00</t>
  </si>
  <si>
    <t>946941106RT1</t>
  </si>
  <si>
    <t>946941196RT1</t>
  </si>
  <si>
    <t>946941806RT1</t>
  </si>
  <si>
    <t>968061125R00</t>
  </si>
  <si>
    <t>968072455R00</t>
  </si>
  <si>
    <t>968071136R00</t>
  </si>
  <si>
    <t>968072456R00</t>
  </si>
  <si>
    <t>961044111R00</t>
  </si>
  <si>
    <t>962032231R00</t>
  </si>
  <si>
    <t>968061112R00</t>
  </si>
  <si>
    <t>968061113R00</t>
  </si>
  <si>
    <t>968062245R00</t>
  </si>
  <si>
    <t>965081713RT2</t>
  </si>
  <si>
    <t>965042141RT1</t>
  </si>
  <si>
    <t>965042241RT1</t>
  </si>
  <si>
    <t>963016111R00</t>
  </si>
  <si>
    <t>968071137R00</t>
  </si>
  <si>
    <t>968072559R00</t>
  </si>
  <si>
    <t>965048515R00</t>
  </si>
  <si>
    <t>978059531R00</t>
  </si>
  <si>
    <t>978021191R00</t>
  </si>
  <si>
    <t>978015291R00</t>
  </si>
  <si>
    <t>971033541R00</t>
  </si>
  <si>
    <t>974082113R00</t>
  </si>
  <si>
    <t>978015241R00</t>
  </si>
  <si>
    <t>H01</t>
  </si>
  <si>
    <t>998011001R00</t>
  </si>
  <si>
    <t>H22</t>
  </si>
  <si>
    <t>998225311R00</t>
  </si>
  <si>
    <t>998223011R00</t>
  </si>
  <si>
    <t>M741VD</t>
  </si>
  <si>
    <t>741161-2111VD</t>
  </si>
  <si>
    <t>74174362-1210VD</t>
  </si>
  <si>
    <t>74174362-2100VD</t>
  </si>
  <si>
    <t>74174302-4110VD</t>
  </si>
  <si>
    <t>74178690-3610VD</t>
  </si>
  <si>
    <t>741001VD</t>
  </si>
  <si>
    <t>741002VD</t>
  </si>
  <si>
    <t>741003VD</t>
  </si>
  <si>
    <t>741004VD</t>
  </si>
  <si>
    <t>741005VD</t>
  </si>
  <si>
    <t>741006VD</t>
  </si>
  <si>
    <t>741007VD</t>
  </si>
  <si>
    <t>741008VD</t>
  </si>
  <si>
    <t>741009VD</t>
  </si>
  <si>
    <t>741010VD</t>
  </si>
  <si>
    <t>74174362-1211VD</t>
  </si>
  <si>
    <t>74174362-2200VD</t>
  </si>
  <si>
    <t>74174362-4300VD</t>
  </si>
  <si>
    <t>7417432-1110VD</t>
  </si>
  <si>
    <t>74174362-2201VD</t>
  </si>
  <si>
    <t>74174311-2316VD</t>
  </si>
  <si>
    <t>741220469VD</t>
  </si>
  <si>
    <t>74174399-2100VD</t>
  </si>
  <si>
    <t>74174099-1100VD</t>
  </si>
  <si>
    <t>7414VD</t>
  </si>
  <si>
    <t>7415VD</t>
  </si>
  <si>
    <t>M742VD</t>
  </si>
  <si>
    <t>742VD</t>
  </si>
  <si>
    <t>S</t>
  </si>
  <si>
    <t>979990103R00</t>
  </si>
  <si>
    <t>979990101R00</t>
  </si>
  <si>
    <t>979990110R00</t>
  </si>
  <si>
    <t>979990111R00</t>
  </si>
  <si>
    <t>979990121R00</t>
  </si>
  <si>
    <t>979990144R00</t>
  </si>
  <si>
    <t>979990162R00</t>
  </si>
  <si>
    <t>979990182R00</t>
  </si>
  <si>
    <t>979990201R00</t>
  </si>
  <si>
    <t>979990113R00</t>
  </si>
  <si>
    <t>979083117R00</t>
  </si>
  <si>
    <t>979083191R00</t>
  </si>
  <si>
    <t>Stavební úpravy budovy, stání aut, změna užívání části budovy ÚHÚL Brandýs nad Labem</t>
  </si>
  <si>
    <t>p.č. 1586/1,1586/22 k.ú. Stará Boleslav, 250 01</t>
  </si>
  <si>
    <t>Zkrácený popis / Varianta</t>
  </si>
  <si>
    <t>Rozměry</t>
  </si>
  <si>
    <t>Přípravné a přidružené práce</t>
  </si>
  <si>
    <t>Odstranění asfaltové vrstvy pl.do 50 m2, tl. 5 cm</t>
  </si>
  <si>
    <t>Odstranění podkladu z kameniva drceného</t>
  </si>
  <si>
    <t>Odstranění podkladu pl.50 m2, bet.prostý tl.10 cm</t>
  </si>
  <si>
    <t>Hloubené vykopávky</t>
  </si>
  <si>
    <t>Přemístění výkopku</t>
  </si>
  <si>
    <t>Vodorovné přemístění výkopku z hor.1-4 do 10000 m</t>
  </si>
  <si>
    <t>Poplatek za skládku vytěžené zeminy</t>
  </si>
  <si>
    <t>Příplatek k vod. přemístění hor.1-4 za další 1 km</t>
  </si>
  <si>
    <t>Konstrukce ze zemin</t>
  </si>
  <si>
    <t>Zásyp jam, rýh, šachet se zhutněním</t>
  </si>
  <si>
    <t>Obsyp potrubí bez prohození sypaniny</t>
  </si>
  <si>
    <t>s dodáním štěrkopísku frakce 0 - 22 mm</t>
  </si>
  <si>
    <t>Základy</t>
  </si>
  <si>
    <t>Základová deska z betonu C 16/20, včetně bednění</t>
  </si>
  <si>
    <t>štěrkopískový polštář 25 cm</t>
  </si>
  <si>
    <t>Beton základových pasů prostý C 16/20</t>
  </si>
  <si>
    <t>Bednění základových pasů z prken oboustranné</t>
  </si>
  <si>
    <t>Zdi podpěrné a volné</t>
  </si>
  <si>
    <t>cihla pero + drážka 240 x 372 x 238 mm, P 10</t>
  </si>
  <si>
    <t>cihla pero + drážka 300 x 247 x 238 mm, P 10</t>
  </si>
  <si>
    <t>Zdivo nosné cihelné z CP 29 P25 na MC 10</t>
  </si>
  <si>
    <t>Dodatečná montáž překladu, otvor šířky do 240 cm</t>
  </si>
  <si>
    <t>vybourání rýhy, dodávka překladu</t>
  </si>
  <si>
    <t>Dodatečná montáž překladu, otvor šířky do 180 cm</t>
  </si>
  <si>
    <t>Stropy a stropní konstrukce (pro pozemní stavby)</t>
  </si>
  <si>
    <t>Podhledy SDK, kovová.kce CD. 1x deska RF 12,5 mm</t>
  </si>
  <si>
    <t>Podhledy SDK, kovová.kce CD. 1x deska RFI 12,5 mm</t>
  </si>
  <si>
    <t>Podkladní vrstvy komunikací, letišť a ploch</t>
  </si>
  <si>
    <t>Podklad z prostého betonu tř. I  tloušťky 10 cm</t>
  </si>
  <si>
    <t>Podklad ze štěrkodrti po zhutnění tloušťky 20 cm</t>
  </si>
  <si>
    <t>štěrkodrť frakce 0-63 mm</t>
  </si>
  <si>
    <t>Podklad ze štěrkodrti po zhutnění tloušťky 17 cm</t>
  </si>
  <si>
    <t>štěrkodrť frakce 0-32 mm</t>
  </si>
  <si>
    <t>Podklad z mechanicky zpevněného kameniva tl. 24 cm</t>
  </si>
  <si>
    <t>Kryty pozemních komunikací, letišť a ploch z kameniva nebo živičné</t>
  </si>
  <si>
    <t>Beton asfaltový ACO 8 CH, š. do 3 m, tl. 4 cm</t>
  </si>
  <si>
    <t>Postřik živičný spojovací z asfaltu 0,5-0,7 kg/m2</t>
  </si>
  <si>
    <t>Vyspravení krytu po překopu lit.asfaltem, do 6 cm</t>
  </si>
  <si>
    <t>Kryty pozemních komunikací, letišť a ploch dlážděných (předlažby)</t>
  </si>
  <si>
    <t>Úprava povrchů vnitřní</t>
  </si>
  <si>
    <t>Začištění omítek kolem oken,dveří apod.</t>
  </si>
  <si>
    <t>s použitím suché maltové směsi</t>
  </si>
  <si>
    <t>Omítka vnitřní zdiva, MVC, štuková</t>
  </si>
  <si>
    <t>Začišťovací okenní lišta pro vnitř.omítku tl. 9 mm</t>
  </si>
  <si>
    <t>Zakrývání výplní vnitřních otvorů</t>
  </si>
  <si>
    <t>Úprava povrchů vnější</t>
  </si>
  <si>
    <t>Omítka vnější stěn, MVC, hladká, složitost 1-2</t>
  </si>
  <si>
    <t>Začišťovací okenní lišta pro vnějš.omítku tl. 9 mm</t>
  </si>
  <si>
    <t>Zakrývání výplní vnějších otvorů z lešení</t>
  </si>
  <si>
    <t>Podlahy a podlahové konstrukce</t>
  </si>
  <si>
    <t>Mazanina betonová tl. 8 - 12 cm C 20/25</t>
  </si>
  <si>
    <t>Výztuž mazanin svařovanou sítí</t>
  </si>
  <si>
    <t>průměr drátu  6,0, oka 100/100 mm KH30</t>
  </si>
  <si>
    <t>Montáž dilatačního pásku podél stěn</t>
  </si>
  <si>
    <t>Výplně otvorů</t>
  </si>
  <si>
    <t>Osazení parapet.desek plast. a lamin. š.nad 20cm</t>
  </si>
  <si>
    <t>včetně dodávky plastové parapetní desky š. 250 mm</t>
  </si>
  <si>
    <t>Izolace proti vodě</t>
  </si>
  <si>
    <t>Izolace proti vlhkosti vodor. nátěr ALP za studena</t>
  </si>
  <si>
    <t>1x nátěr - včetně dodávky penetračního laku ALP</t>
  </si>
  <si>
    <t>Izolace proti vlhk. vodorovná pásy přitavením</t>
  </si>
  <si>
    <t>1 vrstva - včetně dodávky Bitubitagit S 35</t>
  </si>
  <si>
    <t>Přesun hmot pro izolace proti vodě, výšky do 6 m</t>
  </si>
  <si>
    <t>Izolace střech (živičné krytiny)</t>
  </si>
  <si>
    <t>Odstranění povlakové krytiny střech do 10° 1vrstvé</t>
  </si>
  <si>
    <t>z ploch jednotlivě do 10 - 20 m2</t>
  </si>
  <si>
    <t>Přesun hmot pro povlakové krytiny, výšky do 6 m</t>
  </si>
  <si>
    <t>Izolace tepelné</t>
  </si>
  <si>
    <t>Odstr.tep.izol.stropů,volně,minerál tl.do 100 mm</t>
  </si>
  <si>
    <t>Montáž parozábrany krovů spodem s přelepením spojů</t>
  </si>
  <si>
    <t>Izolace tepelné stropů rovných spodem, drátem</t>
  </si>
  <si>
    <t>1 vrstva - materiál ve specifikaci</t>
  </si>
  <si>
    <t>Přesun hmot pro izolace tepelné, výšky do 6 m</t>
  </si>
  <si>
    <t>Vnitřní kanalizace</t>
  </si>
  <si>
    <t>Potrubí KG svodné (ležaté) v zemi D 125 x 3,2 mm</t>
  </si>
  <si>
    <t>Lapač střešních splavenin PP HL600, kloub</t>
  </si>
  <si>
    <t>zápachová klapka, koš na listí, DN 125</t>
  </si>
  <si>
    <t>Zařizovací předměty</t>
  </si>
  <si>
    <t>Demontáž klozetu včetně splachovací nádrže</t>
  </si>
  <si>
    <t>Demontáž umyvadla včetně baterie a konzol</t>
  </si>
  <si>
    <t>Přesun hmot pro zařizovací předměty, výšky do 6 m</t>
  </si>
  <si>
    <t>Vzduchotechnika</t>
  </si>
  <si>
    <t>Mřížka čtyřhranná KMM vel. 200x200.30, do zdi</t>
  </si>
  <si>
    <t>Montáž mřížky větrací nebo ventilační do 0,04 m2</t>
  </si>
  <si>
    <t>Strojovny</t>
  </si>
  <si>
    <t>Montáž topných těles elektrických pro přímý ohřev</t>
  </si>
  <si>
    <t>Přesun hmot pro strojovny, výšky do 6 m</t>
  </si>
  <si>
    <t>Dřevostavby</t>
  </si>
  <si>
    <t>Montáž ostatních dílců z prken hoblovaných</t>
  </si>
  <si>
    <t>Přesun hmot pro dřevostavby, výšky do 12 m</t>
  </si>
  <si>
    <t>Konstrukce klempířské</t>
  </si>
  <si>
    <t>Demontáž oplechování parapetů,rš od 100 do 330 mm</t>
  </si>
  <si>
    <t>Demont. krytiny, tabule 2 x 1 m, nad 25 m2, do 30°</t>
  </si>
  <si>
    <t>Demontáž žlabů půlkruh. rovných, rš 330 mm, do 30°</t>
  </si>
  <si>
    <t>Demontáž odpadních trub kruhových,D 150 mm</t>
  </si>
  <si>
    <t>Krytina Classic</t>
  </si>
  <si>
    <t>Z+M Krytiny hladké z ocel.lak.plechu do 30°</t>
  </si>
  <si>
    <t>Z+M.lemov.z lak.plech.na plochých střech. rš 330</t>
  </si>
  <si>
    <t>Přesun hmot pro klempířské konstr., výšky do 6 m</t>
  </si>
  <si>
    <t>Krytina tvrdá</t>
  </si>
  <si>
    <t>Demontáž oblož. stěn AZC čtverce, bed.+lep., suť</t>
  </si>
  <si>
    <t>Přesun hmot pro krytiny tvrdé, výšky do 6 m</t>
  </si>
  <si>
    <t>Konstrukce truhlářské</t>
  </si>
  <si>
    <t>Montáž oken plastových plochy do 1,50 m2</t>
  </si>
  <si>
    <t>Montáž oken plastových plochy do 2,70 m2</t>
  </si>
  <si>
    <t>Fólie na sklo bezpečnostní, ochranná SCX čirá</t>
  </si>
  <si>
    <t>Dveře vstupní, bezp. tř.III, EI30, 1000x1970 mm</t>
  </si>
  <si>
    <t>Dveře vstupní, bezp. tř.III, zateplené, 1000x2030 mm</t>
  </si>
  <si>
    <t>Přesun hmot pro truhlářské konstr., výšky do 6 m</t>
  </si>
  <si>
    <t>Konstrukce doplňkové stavební (zámečnické)</t>
  </si>
  <si>
    <t>Vrata sekční 2400x2400 mm, zateplená, vč. dálk.ovládání</t>
  </si>
  <si>
    <t>Montáž vrat zvedacích, do ocel. konstr., do 6 m2</t>
  </si>
  <si>
    <t>Přesun hmot pro zámečnické konstr., výšky do 6 m</t>
  </si>
  <si>
    <t>Podlahy z dlaždic</t>
  </si>
  <si>
    <t>Spára podlaha - stěna, silikonem</t>
  </si>
  <si>
    <t>Příplatek za spárování vodotěsnou hmotou - plošně</t>
  </si>
  <si>
    <t>Podlahy povlakové</t>
  </si>
  <si>
    <t>Odstranění PVC a koberců lepených bez podložky</t>
  </si>
  <si>
    <t>z ploch 10 - 20 m2</t>
  </si>
  <si>
    <t>Přesun hmot pro podlahy povlakové, výšky do 6 m</t>
  </si>
  <si>
    <t>Podlahy ze syntetických hmot</t>
  </si>
  <si>
    <t>Nátěry podlah betonových 2x</t>
  </si>
  <si>
    <t>Vyrovnávací samoniv.stěrka</t>
  </si>
  <si>
    <t>Nátěry podlah betonových 1x penterace</t>
  </si>
  <si>
    <t>Přesun hmot pro podlahy syntetické, výšky do 6 m</t>
  </si>
  <si>
    <t>Nátěry</t>
  </si>
  <si>
    <t>Nátěr olejový truhlář.výrobků 2x+1x email+1x tmel</t>
  </si>
  <si>
    <t>Odstranění nátěrů z ocel.konstrukcí "C" oškrábáním</t>
  </si>
  <si>
    <t>Nátěr olejový OK "C" nebo "CC" 2x +1x email</t>
  </si>
  <si>
    <t>Malby</t>
  </si>
  <si>
    <t>Čalounické úpravy</t>
  </si>
  <si>
    <t>Žaluzie horizontální vnitřní AL lamely bílé</t>
  </si>
  <si>
    <t>včetně dodávky žaluzie</t>
  </si>
  <si>
    <t>Přesun hmot pro zastiň. techniku, výšky do 6 m</t>
  </si>
  <si>
    <t>Doplňující konstrukce a práce na pozemních komunikacích a zpevněných plochách</t>
  </si>
  <si>
    <t>Řezání stávajícího živičného krytu tl. do 5 cm</t>
  </si>
  <si>
    <t>Řezání stávajícího betonového krytu tl. 10 - 15 cm</t>
  </si>
  <si>
    <t>Řezání stávajícího živičného krytu tl. 5 - 10 cm</t>
  </si>
  <si>
    <t>Lešení a stavební výtahy</t>
  </si>
  <si>
    <t>pracovní výška 4,3 m</t>
  </si>
  <si>
    <t>Bourání konstrukcí</t>
  </si>
  <si>
    <t>Vyvěšení dřevěných dveřních křídel pl. do 2 m2</t>
  </si>
  <si>
    <t>Vybourání kovových dveřních zárubní pl. do 2 m2</t>
  </si>
  <si>
    <t>Vyvěšení, zavěšení kovových křídel vrat do 4 m2</t>
  </si>
  <si>
    <t>Vybourání kovových dveřních zárubní pl. nad 2 m2</t>
  </si>
  <si>
    <t>Bourání základů z betonu prostého</t>
  </si>
  <si>
    <t>Bourání zdiva z cihel pálených na MVC</t>
  </si>
  <si>
    <t>Vyvěšení dřevěných okenních křídel pl. do 1,5 m2</t>
  </si>
  <si>
    <t>Vyvěšení dřevěných okenních křídel pl. nad 1,5 m2</t>
  </si>
  <si>
    <t>Vybourání dřevěných rámů oken jednoduch. pl. 2 m2</t>
  </si>
  <si>
    <t>Bourání dlažeb keramických tl.10 mm, nad 1 m2</t>
  </si>
  <si>
    <t>sbíječka, dlaždice keramické</t>
  </si>
  <si>
    <t>Bourání mazanin betonových tl. 10 cm, nad 4 m2</t>
  </si>
  <si>
    <t>ručně tl. mazaniny 5 - 8 cm</t>
  </si>
  <si>
    <t>Bourání mazanin betonových tl. nad 10 cm, nad 4 m2</t>
  </si>
  <si>
    <t>ručně tl. mazaniny 10 - 15 cm</t>
  </si>
  <si>
    <t>DMTZ podhledu SDK, kovová kce., 1xoplášť.12,5 mm</t>
  </si>
  <si>
    <t>Vyvěšení, zavěšení kovových křídel vrat nad 4 m2</t>
  </si>
  <si>
    <t>Vybourání kovových vrat plochy nad 5 m2</t>
  </si>
  <si>
    <t>Broušení betonových povrchů do tl. 5 mm</t>
  </si>
  <si>
    <t>Prorážení otvorů a ostatní bourací práce</t>
  </si>
  <si>
    <t>Odsekání vnitřních obkladů stěn nad 2 m2</t>
  </si>
  <si>
    <t>Otlučení cementových omítek vnitřních stěn do 100%</t>
  </si>
  <si>
    <t>Otlučení omítek vnějších MVC v složit.1-4 do 100 %</t>
  </si>
  <si>
    <t>Vybourání otv. zeď cihel. pl.1 m2, tl.30 cm, MVC</t>
  </si>
  <si>
    <t>Vysekání rýh pro vodiče omítka stěn MVC šířka 5 cm</t>
  </si>
  <si>
    <t>Otlučení omítek vnějších MVC v složit.1-4 do 30 %</t>
  </si>
  <si>
    <t>Budovy občanské výstavby</t>
  </si>
  <si>
    <t>Přesun hmot pro budovy zděné výšky do 6 m</t>
  </si>
  <si>
    <t>Komunikace pozemní a letiště</t>
  </si>
  <si>
    <t>Přesun hmot, oprava komunikací, kryt živič. a bet.</t>
  </si>
  <si>
    <t>Přesun hmot, pozemní komunikace, kryt dlážděný</t>
  </si>
  <si>
    <t>Uzemnění</t>
  </si>
  <si>
    <t>Uzemňovací vedení - zemn.pásek</t>
  </si>
  <si>
    <t>Sv.vod. FeZn-stáv.vodič</t>
  </si>
  <si>
    <t>Zemn.vodič d10mm FeZn, vyrovnání, tvarování</t>
  </si>
  <si>
    <t>Svorky do 2 šroubů / SS,SO,SR,SU /</t>
  </si>
  <si>
    <t>OÚ nebo truba - M po D</t>
  </si>
  <si>
    <t>Náter svorek</t>
  </si>
  <si>
    <t>Drát FeZn prům. 10 mm</t>
  </si>
  <si>
    <t>Zemn.pásek FeZn 4x30mm</t>
  </si>
  <si>
    <t>SR 03 FeZn</t>
  </si>
  <si>
    <t>Barva synt.,asfalt. nátěr</t>
  </si>
  <si>
    <t>Drát A1 Mg Si prům.8 mm</t>
  </si>
  <si>
    <t>PV21</t>
  </si>
  <si>
    <t>SO FeZn</t>
  </si>
  <si>
    <t>SU FeZn</t>
  </si>
  <si>
    <t>SZ FeZn</t>
  </si>
  <si>
    <t>Sv.vod. A1MgSi, FeZn, Cu d8mm - nový vodič</t>
  </si>
  <si>
    <t>Svorky nad 2 šrouby /SZ,SK,SJ,ST,PV32</t>
  </si>
  <si>
    <t>Nátěr vodiče</t>
  </si>
  <si>
    <t>/50% Demontáž vodiče vč. PV</t>
  </si>
  <si>
    <t>/ 50% Demontáž svorek nad 2 šrouby</t>
  </si>
  <si>
    <t>Nátěr OÚ vč. příslušenství</t>
  </si>
  <si>
    <t>Žebřík na stř.do 7m - 1x přistavení a použití</t>
  </si>
  <si>
    <t>Měření zemního odporu</t>
  </si>
  <si>
    <t>Zpráva o odstranění závad/mimořádná revize/ do ceny zakázky 100 000,- Kč</t>
  </si>
  <si>
    <t>HZS</t>
  </si>
  <si>
    <t>Doprava (cestovné)</t>
  </si>
  <si>
    <t>Elektromontážní práce</t>
  </si>
  <si>
    <t>Elektro - viz samostaný rozpočet / výkaz výměr</t>
  </si>
  <si>
    <t>Přesuny sutí</t>
  </si>
  <si>
    <t>Poplatek za skládku suti - beton do 30x30 cm</t>
  </si>
  <si>
    <t>Poplatek za sklád.suti-směs bet.a cihel do 30x30cm</t>
  </si>
  <si>
    <t>Poplatek za skládku suti - sádrokartonové desky</t>
  </si>
  <si>
    <t>Poplatek za skládku suti - stavební keramika</t>
  </si>
  <si>
    <t>Poplatek za skládku suti - asfaltové pásy</t>
  </si>
  <si>
    <t>Poplatek za skládku suti - minerální vata</t>
  </si>
  <si>
    <t>Poplatek za skládku suti - dřevo+sklo</t>
  </si>
  <si>
    <t>Poplatek za skládku suti - koberce</t>
  </si>
  <si>
    <t>Poplatek za skládku suti -azbestocementové výrobky</t>
  </si>
  <si>
    <t>Poplatek za skládku suti-obal.kam-asfalt nad 30x30</t>
  </si>
  <si>
    <t>Vodorovné přemístění suti na skládku do 6000 m</t>
  </si>
  <si>
    <t>Příplatek za dalších započatých 1000 m nad 6000 m</t>
  </si>
  <si>
    <t>Doba výstavby:</t>
  </si>
  <si>
    <t>Začátek výstavby:</t>
  </si>
  <si>
    <t>Konec výstavby:</t>
  </si>
  <si>
    <t>Zpracováno dne:</t>
  </si>
  <si>
    <t>08.08.2019</t>
  </si>
  <si>
    <t>MJ</t>
  </si>
  <si>
    <t>m2</t>
  </si>
  <si>
    <t>m3</t>
  </si>
  <si>
    <t>t</t>
  </si>
  <si>
    <t>kus</t>
  </si>
  <si>
    <t>m</t>
  </si>
  <si>
    <t>soubor</t>
  </si>
  <si>
    <t>bm</t>
  </si>
  <si>
    <t>ks</t>
  </si>
  <si>
    <t>kg</t>
  </si>
  <si>
    <t>sada</t>
  </si>
  <si>
    <t>den</t>
  </si>
  <si>
    <t>hod</t>
  </si>
  <si>
    <t>km</t>
  </si>
  <si>
    <t>kpl</t>
  </si>
  <si>
    <t>Množství</t>
  </si>
  <si>
    <t>Objednatel:</t>
  </si>
  <si>
    <t>Projektant:</t>
  </si>
  <si>
    <t>Zhotovitel:</t>
  </si>
  <si>
    <t>Zpracoval:</t>
  </si>
  <si>
    <t>Cena/MJ</t>
  </si>
  <si>
    <t>(Kč)</t>
  </si>
  <si>
    <t>ÚHUL Brandýs nad Labem</t>
  </si>
  <si>
    <t>CHMELS - projekty a systémy s.r.o.</t>
  </si>
  <si>
    <t> </t>
  </si>
  <si>
    <t>Náklady (Kč)</t>
  </si>
  <si>
    <t>Dodávka</t>
  </si>
  <si>
    <t>Celkem:</t>
  </si>
  <si>
    <t>Montáž</t>
  </si>
  <si>
    <t>Celkem</t>
  </si>
  <si>
    <t>%</t>
  </si>
  <si>
    <t>Cenová</t>
  </si>
  <si>
    <t>soustava</t>
  </si>
  <si>
    <t>RTS I / 2018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</si>
  <si>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</si>
  <si>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</si>
  <si>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</si>
  <si>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</si>
  <si>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</si>
  <si>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</si>
  <si>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</si>
  <si>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</si>
  <si>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</si>
  <si>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11_</t>
  </si>
  <si>
    <t>13_</t>
  </si>
  <si>
    <t>16_</t>
  </si>
  <si>
    <t>17_</t>
  </si>
  <si>
    <t>27_</t>
  </si>
  <si>
    <t>31_</t>
  </si>
  <si>
    <t>41_</t>
  </si>
  <si>
    <t>56_</t>
  </si>
  <si>
    <t>57_</t>
  </si>
  <si>
    <t>59_</t>
  </si>
  <si>
    <t>61_</t>
  </si>
  <si>
    <t>62_</t>
  </si>
  <si>
    <t>63_</t>
  </si>
  <si>
    <t>64_</t>
  </si>
  <si>
    <t>711_</t>
  </si>
  <si>
    <t>712_</t>
  </si>
  <si>
    <t>713_</t>
  </si>
  <si>
    <t>721_</t>
  </si>
  <si>
    <t>725_</t>
  </si>
  <si>
    <t>728_</t>
  </si>
  <si>
    <t>732_</t>
  </si>
  <si>
    <t>763_</t>
  </si>
  <si>
    <t>764_</t>
  </si>
  <si>
    <t>765_</t>
  </si>
  <si>
    <t>766_</t>
  </si>
  <si>
    <t>767_</t>
  </si>
  <si>
    <t>771_</t>
  </si>
  <si>
    <t>776_</t>
  </si>
  <si>
    <t>777_</t>
  </si>
  <si>
    <t>783_</t>
  </si>
  <si>
    <t>784_</t>
  </si>
  <si>
    <t>786_</t>
  </si>
  <si>
    <t>91_</t>
  </si>
  <si>
    <t>94_</t>
  </si>
  <si>
    <t>96_</t>
  </si>
  <si>
    <t>97_</t>
  </si>
  <si>
    <t>H01_</t>
  </si>
  <si>
    <t>H22_</t>
  </si>
  <si>
    <t>M741VD_</t>
  </si>
  <si>
    <t>M742VD_</t>
  </si>
  <si>
    <t>S_</t>
  </si>
  <si>
    <t>1_</t>
  </si>
  <si>
    <t>2_</t>
  </si>
  <si>
    <t>3_</t>
  </si>
  <si>
    <t>4_</t>
  </si>
  <si>
    <t>5_</t>
  </si>
  <si>
    <t>6_</t>
  </si>
  <si>
    <t>71_</t>
  </si>
  <si>
    <t>72_</t>
  </si>
  <si>
    <t>73_</t>
  </si>
  <si>
    <t>76_</t>
  </si>
  <si>
    <t>77_</t>
  </si>
  <si>
    <t>78_</t>
  </si>
  <si>
    <t>9_</t>
  </si>
  <si>
    <t>_</t>
  </si>
  <si>
    <t>MAT</t>
  </si>
  <si>
    <t>WORK</t>
  </si>
  <si>
    <t>CELK</t>
  </si>
  <si>
    <t>Slepý stavební rozpočet - rekapitulace</t>
  </si>
  <si>
    <t>Objekt</t>
  </si>
  <si>
    <t>Zkrácený popis</t>
  </si>
  <si>
    <t>Náklady (Kč) - dodávka</t>
  </si>
  <si>
    <t>Náklady (Kč) - Montáž</t>
  </si>
  <si>
    <t>Náklady (Kč) - celkem</t>
  </si>
  <si>
    <t>T</t>
  </si>
  <si>
    <t>Výkaz výměr</t>
  </si>
  <si>
    <t>(4,6+1+14,6+2,4+1+2)*0,6   Výkop pro zemnící pásek</t>
  </si>
  <si>
    <t>30*0,5   viz Situace, konec asfaltové plochy</t>
  </si>
  <si>
    <t>3*0,8   KAN S2</t>
  </si>
  <si>
    <t>(4,6+1+14,6+2,4+1+8,5+28,96+4)*0,6*0,37   Výkop pro zemnící pásek</t>
  </si>
  <si>
    <t>(4,6+1+14,6+2,4+1+8,5+28,96+4)*0,6   Výkop pro zemnící pásek</t>
  </si>
  <si>
    <t>2,5*0,6*0,9   Základ šikmé stěny, stání</t>
  </si>
  <si>
    <t>(4,6+1+14,6+2,4+1+8,5+28,96+4)*0,6*0,25   Výkop pro zemnící pásek</t>
  </si>
  <si>
    <t>3*0,8*1,2   KAN S2</t>
  </si>
  <si>
    <t>(2,5*0,6*0,9)*1,6   Základ šikmé stěny, stání</t>
  </si>
  <si>
    <t>((4,6+1+14,6+2,4+1+8,5+28,96+4)*0,6*0,25)*1,6   Výkop pro zemnící pásek</t>
  </si>
  <si>
    <t>(3*0,8*1,2)*1,6   KAN S2</t>
  </si>
  <si>
    <t>13,989*20   </t>
  </si>
  <si>
    <t>(4,6+1+14,6+2,4+1+8,5+28,96+4)*0,6*0,2   Výkop pro zemnící pásek</t>
  </si>
  <si>
    <t>3*0,8*0,8   KAN S2</t>
  </si>
  <si>
    <t>3*0,8*0,3   KAN S2</t>
  </si>
  <si>
    <t>(3*0,8*1)*1,6   KAN S2</t>
  </si>
  <si>
    <t>2*(1,5*1,5*0,3)   Rampa 1500x1500 mm</t>
  </si>
  <si>
    <t>2,5*0,6*1,2   Základ šikmé stěny, stání</t>
  </si>
  <si>
    <t>2,5*0,3   Základ šikmé stěny, stání</t>
  </si>
  <si>
    <t>1,4*0,25*3   Zazdění rozvodnice</t>
  </si>
  <si>
    <t>0,35*0,3*2,48   Dozdění otvoru dveře</t>
  </si>
  <si>
    <t>0,3*0,28*1,5   Dozdívka překladu</t>
  </si>
  <si>
    <t>0,3*1,2*0,3   Dozdění otvoru okna</t>
  </si>
  <si>
    <t>2,5*5,53*0,15   Základ šikmé stěny, stání</t>
  </si>
  <si>
    <t>1   Překlad</t>
  </si>
  <si>
    <t>2   Vnitřní dveře 1000x1970</t>
  </si>
  <si>
    <t>19,47   Denní místnost řidičů / Spisovna</t>
  </si>
  <si>
    <t>2,61   Zádveří</t>
  </si>
  <si>
    <t>13,19   Umývárna / Skartovna</t>
  </si>
  <si>
    <t>19,95   Kompresorovna / Spisovna</t>
  </si>
  <si>
    <t>23,09   Garáž</t>
  </si>
  <si>
    <t>25,64   Pomocná dílná</t>
  </si>
  <si>
    <t>202,53   Betonová mazanina, Stání</t>
  </si>
  <si>
    <t>1,25*28,96   Nájezd stání</t>
  </si>
  <si>
    <t>30*0,4   vyspravení kolem žlabu</t>
  </si>
  <si>
    <t>30   viz Situace, konec asfaltové plochy</t>
  </si>
  <si>
    <t>2*(2,03+1+2,03)   Dveře vstupní 1000x2030 mm</t>
  </si>
  <si>
    <t>2*(1,97+0,9+1,97)   Dveře bezp. s PO 900x1970 mm</t>
  </si>
  <si>
    <t>2*(2*0,6+2*1,2)   Nová okna 600x1200 mm</t>
  </si>
  <si>
    <t>2*0,9+2*1,5   Nové okno 900x1500 mm</t>
  </si>
  <si>
    <t>4*2,4+4*2,4   Sekční vrata</t>
  </si>
  <si>
    <t>3*(2*1,2+2*1,5)   Nová okna 1200x1500 mm</t>
  </si>
  <si>
    <t>14,59*3   Umývárna / Skartovna</t>
  </si>
  <si>
    <t>19,47*3   Denní místnost řidičů</t>
  </si>
  <si>
    <t>2,61*3   Zádveří</t>
  </si>
  <si>
    <t>19,95*3   Kompresorovna / Spisovna</t>
  </si>
  <si>
    <t>23,09*2,865   Garáž</t>
  </si>
  <si>
    <t>25,64*2,865   Pomocná dílná</t>
  </si>
  <si>
    <t>2*(1*2,03)   Dveře vstupní 1000x2030 mm</t>
  </si>
  <si>
    <t>2*(0,6*1,2)   Nová okna 600x1200 mm</t>
  </si>
  <si>
    <t>1*(0,9*1,5)   Nové okno 900x1500 mm</t>
  </si>
  <si>
    <t>3*(1,2*1,5)   Nová okna 1200x1500 mm</t>
  </si>
  <si>
    <t>26,86*5   Otlučení zadní stěny - Stání</t>
  </si>
  <si>
    <t>2,5*5   Nově vyzděná část stěny - Stání</t>
  </si>
  <si>
    <t>(2*(2,03+1+2,03))*0,5   Dveře vstupní 1000x2030 mm</t>
  </si>
  <si>
    <t>(2*(2*0,6+2*1,2))*0,5   Nová okna 600x1200 mm</t>
  </si>
  <si>
    <t>(2*0,9+2*1,5)*0,5   Nové okno 900x1500 mm</t>
  </si>
  <si>
    <t>(4*2,4+4*2,4)*0,5   Sekční vrata</t>
  </si>
  <si>
    <t>(3*(2*1,2+2*1,5))*0,5   Nová okna 1200x1500 mm</t>
  </si>
  <si>
    <t>26,86*4,6   Otlučení zadní stěny - Stání</t>
  </si>
  <si>
    <t>2,5*4,6   Nově vyzděná část stěny - Stání</t>
  </si>
  <si>
    <t>((7+8,5+2,5+14,6+4,6)*3,52)-(2*(2,4*2,4)   Budova</t>
  </si>
  <si>
    <t>26,86*0,4   Otlučení zadní stěny - Stání</t>
  </si>
  <si>
    <t>2,5*0,4   Nově vyzděná část stěny - Stání</t>
  </si>
  <si>
    <t>((7+8,5+2,5+14,6+4,6-2*2,4)*0,4)   Budova</t>
  </si>
  <si>
    <t>13,19*0,1   Umývárna / Skartovna</t>
  </si>
  <si>
    <t>13,19*4,4/1000   Umývárna / Skartovna</t>
  </si>
  <si>
    <t>14,59   Umývárna / Skartovna</t>
  </si>
  <si>
    <t>2*1,2   Nová okna 600x1200 mm</t>
  </si>
  <si>
    <t>0,9   Nové okno 900x1500 mm</t>
  </si>
  <si>
    <t>3*1,2   Nová okna 1200x1500 mm</t>
  </si>
  <si>
    <t>2,5*0,6   Základ šikmé stěny, stání</t>
  </si>
  <si>
    <t>5,3*14,6   Střecha / Spisovna, Skartovna</t>
  </si>
  <si>
    <t>7,8*8,5   Střecha / Garáž, Pomocná dílna</t>
  </si>
  <si>
    <t>19,47   Denní místnost řidičů</t>
  </si>
  <si>
    <t>;ztratné 8%; 8,316   </t>
  </si>
  <si>
    <t>1,2+3   KAN S2</t>
  </si>
  <si>
    <t>1   KAN S2</t>
  </si>
  <si>
    <t>2   Klozet</t>
  </si>
  <si>
    <t>3   Umývadlo</t>
  </si>
  <si>
    <t>2*2   Otvory 200x200 mm</t>
  </si>
  <si>
    <t>4   Akumulační kamna</t>
  </si>
  <si>
    <t>(14,6/0,145)*(0,3+0,45)   Přesahy / Spisovna, Skartovna</t>
  </si>
  <si>
    <t>(8,5/0,145)*(0,6+0,45)   Přesahy / Garáž, Pomocná dílna</t>
  </si>
  <si>
    <t>(28,96/0,145)*0,7   Střecha / Stání - čelo</t>
  </si>
  <si>
    <t>(7,5/0,145)*1,4   Stání - Modřín bok</t>
  </si>
  <si>
    <t>;ztratné 8%; 42,50872   </t>
  </si>
  <si>
    <t>(28,96/0,145)*0,5   Střecha / Stání - čelo</t>
  </si>
  <si>
    <t>((7,45+2,4+5,05)/0,145)*0,8   Budova - Modřín boky</t>
  </si>
  <si>
    <t>(28,96/0,145)*7,5   Střecha / Stání - podhled</t>
  </si>
  <si>
    <t>;ztratné 8%; 119,83448   </t>
  </si>
  <si>
    <t>0,9+5*1,2   Spisovna, Skartovna</t>
  </si>
  <si>
    <t>0,9   Pomocná dílna</t>
  </si>
  <si>
    <t>7,8*28,96   Střecha / Stání</t>
  </si>
  <si>
    <t>14,6   Střecha / Spisovna, Skartovna</t>
  </si>
  <si>
    <t>8,5   Střecha / Garáž, Pomocná dílna</t>
  </si>
  <si>
    <t>28,96   Střecha / Stání</t>
  </si>
  <si>
    <t>2*4,22   Střecha / Spisovna, Skartovna</t>
  </si>
  <si>
    <t>4,22   Střecha / Garáž, Pomocná dílna</t>
  </si>
  <si>
    <t>4*3,55   Střecha / Stání</t>
  </si>
  <si>
    <t>(5,3*14,6)*1,15   Střecha / Spisovna, Skartovna</t>
  </si>
  <si>
    <t>(2*5,3+2*14,6)*1,10   Lemování - Střecha / Spisovna, Skartovna</t>
  </si>
  <si>
    <t>(7,8*8,5)*1,15   Střecha / Garáž, Pomocná dílna</t>
  </si>
  <si>
    <t>(2,4+7,8+8,5)*1,10   Lemování - Střecha / Garáž, Pomocná dílna</t>
  </si>
  <si>
    <t>(7,8*28,96)*1,15   Střecha / Stání</t>
  </si>
  <si>
    <t>(7,8+28,96+7,8+28,96)*1,1   Lemování - Střecha / Stání</t>
  </si>
  <si>
    <t>2*5,3+2*14,6   Střecha / Spisovna, Skartovna</t>
  </si>
  <si>
    <t>2*7,8+2*8,5   Střecha / Garáž, Pomocná dílna</t>
  </si>
  <si>
    <t>(2*7,8+2*28,96)   Střecha / Stání</t>
  </si>
  <si>
    <t>2   Střecha / Spisovna, Skartovna</t>
  </si>
  <si>
    <t>1   Střecha / Garáž, Pomocná dílna</t>
  </si>
  <si>
    <t>4   Střecha / Stání</t>
  </si>
  <si>
    <t>5*1,200+0,9   Spisovna, Skartovna</t>
  </si>
  <si>
    <t>14,6*(0,45+0,3)+4,6*(0,15)   Přesahy - Střecha / Spisovna, Skartovna</t>
  </si>
  <si>
    <t>8,5*(0,45+0,6)+2,4*(0,15)   Přesahy - Střecha / Garáž, Pomocná dílna</t>
  </si>
  <si>
    <t>8,87   Demontáž azb. boky</t>
  </si>
  <si>
    <t>2   Nová okna 600x1200 mm</t>
  </si>
  <si>
    <t>1   Nové okno 900x1500 mm</t>
  </si>
  <si>
    <t>3   Nová okna 1200x1500 mm</t>
  </si>
  <si>
    <t>0,9*1,5   Nové okno 900x1500 mm</t>
  </si>
  <si>
    <t>2   Dveře bezp. s PO 1000x1970 mm</t>
  </si>
  <si>
    <t>2   Dveře vstupní 1000x2030 mm</t>
  </si>
  <si>
    <t>2   Sekční vrata</t>
  </si>
  <si>
    <t>20,01   Garáž</t>
  </si>
  <si>
    <t>20,80   Pomocná dílná</t>
  </si>
  <si>
    <t>19,47*(0,3*2)   Denní místnost řidičů</t>
  </si>
  <si>
    <t>2,61*(0,3*2)   Zádveří</t>
  </si>
  <si>
    <t>13,19*(0,3*2)   Umývárna / Skartovna</t>
  </si>
  <si>
    <t>19,95*(0,3*2)   Kompresorovna / Spisovna</t>
  </si>
  <si>
    <t>;ztratné 15%; 4,9698   </t>
  </si>
  <si>
    <t>19,47*(2,3*3)   Denní místnost řidičů</t>
  </si>
  <si>
    <t>2,61*(2,3*3)   Zádveří</t>
  </si>
  <si>
    <t>13,19*(2,3*3)   Umývárna / Skartovna</t>
  </si>
  <si>
    <t>19,95*(2,3*3)   Kompresorovna / Spisovna</t>
  </si>
  <si>
    <t>;ztratné 15%; 57,1527   </t>
  </si>
  <si>
    <t>19,47*0,55   Denní místnost řidičů</t>
  </si>
  <si>
    <t>2,61*0,55   Zádveří</t>
  </si>
  <si>
    <t>13,19*0,55   Umývárna / Skartovna</t>
  </si>
  <si>
    <t>23,09*0,55   Garáž</t>
  </si>
  <si>
    <t>25,64*0,55   Pomocná dílná</t>
  </si>
  <si>
    <t>202,53*0,55   Betonová mazanina, Stání</t>
  </si>
  <si>
    <t>;ztratné 15%; 23,6391   </t>
  </si>
  <si>
    <t>14,6*(0,3+0,45)   Přesahy / Spisovna, Skartovna</t>
  </si>
  <si>
    <t>8,5*(0,6+0,45)   Přesahy / Garáž, Pomocná dílna</t>
  </si>
  <si>
    <t>28,96*0,7   Střecha / Stání - čelo</t>
  </si>
  <si>
    <t>28,96*0,5   Střecha / Stání - čelo</t>
  </si>
  <si>
    <t>28,96*7,5   Střecha / Stání - podhled</t>
  </si>
  <si>
    <t>(7,45+2,4+5,05)*0,8   Budova - Modřín boky</t>
  </si>
  <si>
    <t>7,5*1,4   Stání - Modřín bok</t>
  </si>
  <si>
    <t>18*2,92*(2*0,434)   Slopky 2xU120 d.2920 mm</t>
  </si>
  <si>
    <t>9*6,455*(0,575)   Nosníky příčné I160 d.6455 mm</t>
  </si>
  <si>
    <t>16*3,6*(2*0,434)   Nosníky podélné 2xU120 d.3600 mm</t>
  </si>
  <si>
    <t>8*3,6*(0,434)   Nosníky podélné spodní U120 d.3600 mm</t>
  </si>
  <si>
    <t>19,20*3   Denní místnost řidičů</t>
  </si>
  <si>
    <t>6,54*3   Zádveří</t>
  </si>
  <si>
    <t>17,98*3   Kompresorovna / Spisovna</t>
  </si>
  <si>
    <t>20,01*2,865   Garáž</t>
  </si>
  <si>
    <t>20,8*2,865   Pomocná dílná</t>
  </si>
  <si>
    <t>2*(4,6+1+14,6+2,4+1+2)   Výkop pro zemnící pásek</t>
  </si>
  <si>
    <t>2*(8,5+28,96+2)   Výkop pro zemnící pásek</t>
  </si>
  <si>
    <t>30+2*0,5   viz Situace, konec asfaltové plochy žlab</t>
  </si>
  <si>
    <t>2*3+2*0,8   KAN S2</t>
  </si>
  <si>
    <t>1   </t>
  </si>
  <si>
    <t>45   </t>
  </si>
  <si>
    <t>1   Vchod 800x1970 mm</t>
  </si>
  <si>
    <t>2   Vnitřní dveře 800x1970</t>
  </si>
  <si>
    <t>3   Vnitřní dveře 700x1970 mm</t>
  </si>
  <si>
    <t>0,8*1,97   Vchod 800x1970 mm</t>
  </si>
  <si>
    <t>2*(0,8*1,97)   Vnitřní dveře 800x1970</t>
  </si>
  <si>
    <t>3*(0,7*1,97)   Vnitřní dveře 700x1970 mm</t>
  </si>
  <si>
    <t>1   Vchod 1450x2480 mm</t>
  </si>
  <si>
    <t>1,45*2,480   Vchod 1450x2480 mm</t>
  </si>
  <si>
    <t>2*(0,70*0,2)   Rampa</t>
  </si>
  <si>
    <t>1,4*0,25*3   Vybourání stávající rozvodnice</t>
  </si>
  <si>
    <t>6,44*0,1*3   Bourání příčky</t>
  </si>
  <si>
    <t>2,5*3,5*0,15   Šikám stěna stání</t>
  </si>
  <si>
    <t>2   Vybourání oken 1200x1500 mm</t>
  </si>
  <si>
    <t>1   Vybourání okna 900x1500 mm</t>
  </si>
  <si>
    <t>3   Výměna oken 1200x1500 mm</t>
  </si>
  <si>
    <t>2*(1,2*1,5)   Vybourání oken 1200x1500 mm</t>
  </si>
  <si>
    <t>0,9*1,5   Vybourání okna 900x1500 mm</t>
  </si>
  <si>
    <t>3*(1,2*1,5)   Výměna oken 1200x1500 mm</t>
  </si>
  <si>
    <t>13,19*0,07   Umývárna / Skartovna</t>
  </si>
  <si>
    <t>202,53*0,15   Betonová mazanina, Stání</t>
  </si>
  <si>
    <t>(28,96+2)*0,6*0,15   Výkop pro zemnící pásek</t>
  </si>
  <si>
    <t>4   Demontáž vrat</t>
  </si>
  <si>
    <t>2*(2,4*2,4)   Demontáž vrat</t>
  </si>
  <si>
    <t>14,59*2   Umývárna / Skartovna</t>
  </si>
  <si>
    <t>((7+8,5-2*2,4+2,5+14,6+4,6)*0,4)   Budova sokl</t>
  </si>
  <si>
    <t>2*(0,2*0,2*0,3)   Otvory 200x200 mm</t>
  </si>
  <si>
    <t>2070/2   Odhad 1/2 množství elektrokabeláže</t>
  </si>
  <si>
    <t>7,03*3,52   Otlučení boční stěny, stání</t>
  </si>
  <si>
    <t>15   VAR. protažení i ke svodu č.1</t>
  </si>
  <si>
    <t>47   VAR. protažení mezi svody č.2,3,4</t>
  </si>
  <si>
    <t>3   VAR. protažení i ke svodu č.1</t>
  </si>
  <si>
    <t>12   VAR. protažení mezi svody č.2,3,4</t>
  </si>
  <si>
    <t>6   VAR. protažení i ke svodu č.1</t>
  </si>
  <si>
    <t>169   VAR. protažení mezi svody č.2,3,4</t>
  </si>
  <si>
    <t>1   VAR. protažení i ke svodu č.1</t>
  </si>
  <si>
    <t>3   VAR. protažení mezi svody č.2,3,4</t>
  </si>
  <si>
    <t>14   VAR. protažení mezi svody č.2,3,4</t>
  </si>
  <si>
    <t>2,1   VAR. protažení i ke svodu č.1</t>
  </si>
  <si>
    <t>8,4   VAR. protažení mezi svody č.2,3,4</t>
  </si>
  <si>
    <t>;ztratné 5%; 0,525   </t>
  </si>
  <si>
    <t>;ztratné 5%; 3,1   </t>
  </si>
  <si>
    <t>0,1   VAR. protažení i ke svodu č.1</t>
  </si>
  <si>
    <t>0,2   VAR. protažení mezi svody č.2,3,4</t>
  </si>
  <si>
    <t>;ztratné 25%; 0,075   </t>
  </si>
  <si>
    <t>20,8   VAR. protažení mezi svody č.2,3,4</t>
  </si>
  <si>
    <t>;ztratné 5%; 1,04   </t>
  </si>
  <si>
    <t>11   VAR. protažení mezi svody č.2,3,4</t>
  </si>
  <si>
    <t>4   VAR. protažení mezi svody č.2,3,4</t>
  </si>
  <si>
    <t>151   VAR. protažení mezi svody č.2,3,4</t>
  </si>
  <si>
    <t>146   VAR. protažení mezi svody č.2,3,4</t>
  </si>
  <si>
    <t>5   VAR. protažení mezi svody č.2,3,4</t>
  </si>
  <si>
    <t>1,5   VAR. protažení mezi svody č.2,3,4</t>
  </si>
  <si>
    <t>1   VAR. protažení mezi svody č.2,3,4</t>
  </si>
  <si>
    <t>76   VAR. protažení mezi svody č.2,3,4</t>
  </si>
  <si>
    <t>25,615+16,2078   </t>
  </si>
  <si>
    <t>84,364+41,823+0,429+0,134+1,486+0,416+0,331+0,019+0,417+31,484   </t>
  </si>
  <si>
    <t>160,903*20   </t>
  </si>
  <si>
    <t>Potřebné množství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</si>
  <si>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</si>
  <si>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</si>
  <si>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</si>
  <si>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</si>
  <si>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</si>
  <si>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</si>
  <si>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</si>
  <si>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</si>
  <si>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</si>
  <si>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</si>
  <si>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</si>
  <si>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</si>
  <si>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</si>
  <si>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</si>
  <si>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</si>
  <si>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</si>
  <si>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</si>
  <si>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</si>
  <si>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</si>
  <si>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</si>
  <si>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</si>
  <si>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</si>
  <si>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</si>
  <si>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</si>
  <si>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</si>
  <si>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</si>
  <si>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</si>
  <si>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</si>
  <si>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</si>
  <si>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</si>
  <si>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</si>
  <si>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</si>
  <si>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</si>
  <si>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</si>
  <si>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</si>
  <si>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</si>
  <si>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</si>
  <si>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</si>
  <si>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</si>
  <si>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</si>
  <si>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</si>
  <si>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24287831/</t>
  </si>
  <si>
    <t>Vedlejší rozpočtové náklady VRN</t>
  </si>
  <si>
    <t>Doplňkové náklady DN</t>
  </si>
  <si>
    <t>Celkem DN</t>
  </si>
  <si>
    <t>Celkem NUS</t>
  </si>
  <si>
    <t>Celkem VRN</t>
  </si>
  <si>
    <t>Ostatní rozpočtové náklady ORN</t>
  </si>
  <si>
    <t>Ostatní rozpočtové náklady (ORN)</t>
  </si>
  <si>
    <t>Celkem ORN</t>
  </si>
  <si>
    <t>Vedlejší a ostatní rozpočtové náklady</t>
  </si>
  <si>
    <t>Kč</t>
  </si>
  <si>
    <t>Základna</t>
  </si>
  <si>
    <t>Název</t>
  </si>
  <si>
    <t>Hodnota A</t>
  </si>
  <si>
    <t>Hodnota B</t>
  </si>
  <si>
    <t>Základní náklady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</si>
  <si>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</si>
  <si>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</si>
  <si>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</si>
  <si>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</si>
  <si>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</si>
  <si>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Zemní práce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</si>
  <si>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</si>
  <si>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</si>
  <si>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</si>
  <si>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</si>
  <si>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</si>
  <si>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</si>
  <si>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/>
  </si>
  <si>
    <t>Vedlejší náklady</t>
  </si>
  <si>
    <t>GZS 0,00%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</si>
  <si>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</si>
  <si>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</si>
  <si>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</si>
  <si>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</si>
  <si>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Základ a hodnota DPH 21%</t>
  </si>
  <si>
    <t>Základ a hodnota DPH 10%</t>
  </si>
  <si>
    <t>Náklady celkem s DPH</t>
  </si>
  <si>
    <t>Roční nárůst cen 0,00%</t>
  </si>
  <si>
    <t>Součty odstavců</t>
  </si>
  <si>
    <t>Materiál</t>
  </si>
  <si>
    <t>Elektromontáže</t>
  </si>
  <si>
    <t xml:space="preserve">  Rozvaděč</t>
  </si>
  <si>
    <t>Mj</t>
  </si>
  <si>
    <t>Počet</t>
  </si>
  <si>
    <t>Materiál celkem</t>
  </si>
  <si>
    <t>DM</t>
  </si>
  <si>
    <t>Montáž celkem</t>
  </si>
  <si>
    <t>Cena celkem</t>
  </si>
  <si>
    <t>Poznámka 1</t>
  </si>
  <si>
    <t>Rozvaděč</t>
  </si>
  <si>
    <t>Skříňový oceloplechový rozvaděč 600x1260x262</t>
  </si>
  <si>
    <t>PL7-B16/1 Jistič PL7, char B, 1-pólový, Icn=10kA, In=16A</t>
  </si>
  <si>
    <t>PL7-B16/3 Jistič PL7, char B, 3-pólový, Icn=10kA, In=16A</t>
  </si>
  <si>
    <t>PL7-B32/3 Jistič PL7, char B, 3-pólový, Icn=10kA, In=32A</t>
  </si>
  <si>
    <t>PF7-25/4/003 Chránič Ir=250A, typ AC, 4-pól, Idn=0.03A, In=25A</t>
  </si>
  <si>
    <t>PF7-40/4/003 Chránič Ir=250A, typ AC, 4-pól, Idn=0.03A, In=40A</t>
  </si>
  <si>
    <t>Z-SCH230/25-40 Instalační stykač, 230V~, 25A, 4zap. kont.</t>
  </si>
  <si>
    <t>LN1-160-I Výkonový vypínač,3pól,In=160A</t>
  </si>
  <si>
    <t>Rozvaděč - celkem</t>
  </si>
  <si>
    <t>SVÍTIDLA</t>
  </si>
  <si>
    <t>LED,průmyslové,základna z PC, difuzor translucentní PC, 2320 lm, Ra 85, 4000K</t>
  </si>
  <si>
    <t>LED,průmyslové,základna z PC, difuzor translucentní PC, s mikrovlnným pohybovým senzorem, 2320 lm, Ra 85, 4000K</t>
  </si>
  <si>
    <t>Přisazené LED slítidlo, kruhové 300mm, kryt PMMA, 1400lm</t>
  </si>
  <si>
    <t>KABEL SILOVÝ,IZOLACE PVC</t>
  </si>
  <si>
    <t>CYKY-J 3x2.5 , pevně</t>
  </si>
  <si>
    <t>CYKY-J 3x1.5 , pevně</t>
  </si>
  <si>
    <t>CYKY-J 5x2.5 , pevně</t>
  </si>
  <si>
    <t>CYKY-J 5x10 , pevně</t>
  </si>
  <si>
    <t>KABEL SILOVÝ,IZOLACE PVC,1kV</t>
  </si>
  <si>
    <t>AYKY-J 3x95+70 , pevně</t>
  </si>
  <si>
    <t>SVORKOVNICE KABICOVÁ</t>
  </si>
  <si>
    <t>2x1-2,5mm2</t>
  </si>
  <si>
    <t>STROJEK SPÍNAČE</t>
  </si>
  <si>
    <t>1-pól.vyp.(1)</t>
  </si>
  <si>
    <t>KRYT SPÍNAČE BARVA BÍLÁ</t>
  </si>
  <si>
    <t>1 páčka</t>
  </si>
  <si>
    <t>RÁMEČEK PRO PŘÍSTROJE BARVA BÍLÁ</t>
  </si>
  <si>
    <t>jednoduchý</t>
  </si>
  <si>
    <t>2x,vodorovný</t>
  </si>
  <si>
    <t>ZÁSUVKA DOMOVNÍ, BARVA BÍLÁ, KOMPLETNÍ</t>
  </si>
  <si>
    <t>2p+PE</t>
  </si>
  <si>
    <t>2p+PE, s víčkem</t>
  </si>
  <si>
    <t>ZÁSUVKA PRŮMYSLOVÁ NÁSTĚNNÁ, IP44</t>
  </si>
  <si>
    <t>416RS6 16A,400V,3p+N+PE</t>
  </si>
  <si>
    <t>432RS6 32A,400V,3p+N+PE</t>
  </si>
  <si>
    <t>PROSTOROVÝ REGULÁTOR TEPLOTY</t>
  </si>
  <si>
    <t>Kontakt 1/1-6A 230V AC, IP54</t>
  </si>
  <si>
    <t xml:space="preserve"> Rozsah 0 až +40 -C</t>
  </si>
  <si>
    <t>VODIČ PRO POSPOJOVÁNÍ</t>
  </si>
  <si>
    <t>CY4 Žlutozelený, pevně</t>
  </si>
  <si>
    <t>SVORKOVNICE HLAVNIHO</t>
  </si>
  <si>
    <t xml:space="preserve"> Pospojování</t>
  </si>
  <si>
    <t>TRUBKA OHEBNÁ, NÍZKÁ MECHANICKÁ ODOLNOST</t>
  </si>
  <si>
    <t>1416E d 16   mm</t>
  </si>
  <si>
    <t>KRABICE ODBOČNÁ POD OMÍTKU BEZ SVORKOVNICE</t>
  </si>
  <si>
    <t>KU68-1902 73x42</t>
  </si>
  <si>
    <t>KABELOVÝ ŽLAB MERKUR VČ. DÍLŮ A PŘÍSLUŠENSTVÍ, ŽÁROVÝ ZINEK</t>
  </si>
  <si>
    <t>100/50</t>
  </si>
  <si>
    <t>TRUBKA TUHÁ STŘEDNÍ MECHANICKÁ ODOLNOST ŠEDÁ</t>
  </si>
  <si>
    <t>4020 LA d 20   mm, pevně</t>
  </si>
  <si>
    <t>A8 75x75mm</t>
  </si>
  <si>
    <t>Úprava vývodového pole v rozvodně NN</t>
  </si>
  <si>
    <t>Dodávka a osazení 2ks kamer, vč. připojení do stávajícího systému CCTV v areálu</t>
  </si>
  <si>
    <t>Podružný materiál</t>
  </si>
  <si>
    <t>Elektromontáže - celkem</t>
  </si>
  <si>
    <t>VYTÝČENÍ TRATI</t>
  </si>
  <si>
    <t xml:space="preserve"> Kabelové vedení v zastaveném prostoru</t>
  </si>
  <si>
    <t>HLOUBENÍ KABELOVÉ RÝHY</t>
  </si>
  <si>
    <t xml:space="preserve"> Zemina třídy 3, šíře 500mm,hloubka 1000mm</t>
  </si>
  <si>
    <t>ZŘÍZENÍ KABELOVÉHO LOŽE</t>
  </si>
  <si>
    <t xml:space="preserve"> Z kopaného písku, bez zakrytí, šíře do 65cm,tloušťka 5cm</t>
  </si>
  <si>
    <t>FOLIE VÝSTRAŽNÁ Z PVC</t>
  </si>
  <si>
    <t xml:space="preserve"> Do šířky 20cm</t>
  </si>
  <si>
    <t>OBETONOVÁNÍ KABELOVÉ CHRÁNIČKY</t>
  </si>
  <si>
    <t xml:space="preserve"> Do rostlé zeminy bez bednění</t>
  </si>
  <si>
    <t>ZÁHOZ KABELOVÉ RÝHY</t>
  </si>
  <si>
    <t xml:space="preserve"> Provizorní úprava terénu v zemina třídy 3</t>
  </si>
  <si>
    <t>Zemní práce - celkem</t>
  </si>
  <si>
    <t>Hloubení rýh š.do 60 cm v hor.3 do 50 m3, RUČNĚ</t>
  </si>
  <si>
    <t>Hloubení rýh š.do 200 cm hor.3 do 50 m3, RUČNĚ</t>
  </si>
  <si>
    <t>Písek tříděný</t>
  </si>
  <si>
    <t>Zdivo nosné, tloušťka 24 cm</t>
  </si>
  <si>
    <t>Zdivo nosné, tloušťka 30 cm</t>
  </si>
  <si>
    <t>Odvodňovací žlab betonový, šedá litina (1000 x 200 x 200 mm)</t>
  </si>
  <si>
    <t>Nátěr stěn vnějších, slož.1-2 , minerální</t>
  </si>
  <si>
    <t>Nátěr stěn vnějších, slož.1-2 , minerální ton silikát na hladký povrch</t>
  </si>
  <si>
    <t>Omítka stěn marmolit jemnozrnná</t>
  </si>
  <si>
    <t>včetně dodávky 15x100x1000 mm</t>
  </si>
  <si>
    <t>Deska z minerální plsti tl. 1200x600x120 mm</t>
  </si>
  <si>
    <t>Kamna akumulační výkon 2 kW</t>
  </si>
  <si>
    <t>Sibiřský modřín 24x145x4000 mm profil ''A4R4'' - hladký AB</t>
  </si>
  <si>
    <t>Smrková hoblovaná prkna 24x146x4000 mm profil ''A2B5'' AB</t>
  </si>
  <si>
    <t>Kotlík žlabový kónický SOK,vel.žlabu 150 mm</t>
  </si>
  <si>
    <t>Žlab podokapní půlkruhový R,velikost 150 mm</t>
  </si>
  <si>
    <t>Odpadní trouby kruhové SROR, D 120 mm</t>
  </si>
  <si>
    <t>Oplechování parapetů, rš 200 mm</t>
  </si>
  <si>
    <t>Fólie podstřešní vodotěsná</t>
  </si>
  <si>
    <t>Okno plastové 1křídlové profil 60x120 cm  OS</t>
  </si>
  <si>
    <t>Okno plastové 1křídlové profil 90x150 cm  OS</t>
  </si>
  <si>
    <t>Okno plastové 1křídlové profil 120x150 cm OS</t>
  </si>
  <si>
    <t>Fólie okenní parotěsná INT-AB š=70 mm</t>
  </si>
  <si>
    <t>Fólie okenní paroprop. EXT UV+ AP š. 70 mm</t>
  </si>
  <si>
    <t xml:space="preserve">Samonivelační litá stěrka na bázi cementu - 3-komp. </t>
  </si>
  <si>
    <t>Barevný EP uzavírací nátěr</t>
  </si>
  <si>
    <t>2-komp. epoxidová penetrace</t>
  </si>
  <si>
    <t>Penetrace podkladu univerzální 1x</t>
  </si>
  <si>
    <t>Malba, bílá, bez penetrace, 2 x</t>
  </si>
  <si>
    <t>Montáž pojízdných Alu věží, 2,5 x 0,85 m</t>
  </si>
  <si>
    <t>Nájemné pojízdných Alu věží, 2,5 x 0,85 m</t>
  </si>
  <si>
    <t>Demontáž pojízdných Alu věží, 2,5 x 0,85 m</t>
  </si>
  <si>
    <t>KRABICOVÁ ROZVODKA, IP 54, PRÁZDNÁ (např. BETTERMANN)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</si>
</sst>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5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sz val="10"/>
      <color indexed="59"/>
      <name val="Arial"/>
      <charset val="238"/>
    </font>
    <font>
      <i/>
      <sz val="9"/>
      <color indexed="61"/>
      <name val="Arial"/>
      <charset val="238"/>
    </font>
    <font>
      <i/>
      <sz val="9"/>
      <color indexed="62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9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b/>
      <sz val="9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i/>
      <sz val="10"/>
      <color rgb="FF000000"/>
      <name val="Segoe UI"/>
      <family val="2"/>
      <charset val="238"/>
    </font>
    <font>
      <sz val="10"/>
      <color indexed="61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41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E0"/>
        <bgColor indexed="64"/>
      </patternFill>
    </fill>
  </fills>
  <borders count="6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90">
    <xf numFmtId="0" fontId="1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4" fillId="2" borderId="4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" fontId="5" fillId="3" borderId="0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1" fillId="3" borderId="0" xfId="0" applyNumberFormat="1" applyFont="1" applyFill="1" applyBorder="1" applyAlignment="1" applyProtection="1">
      <alignment vertical="center"/>
      <protection locked="0"/>
    </xf>
    <xf numFmtId="4" fontId="6" fillId="3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0" fontId="1" fillId="0" borderId="14" xfId="0" applyNumberFormat="1" applyFont="1" applyFill="1" applyBorder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8" fillId="2" borderId="4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9" fontId="8" fillId="2" borderId="4" xfId="0" applyNumberFormat="1" applyFont="1" applyFill="1" applyBorder="1" applyAlignment="1" applyProtection="1">
      <alignment horizontal="center" vertical="center"/>
    </xf>
    <xf numFmtId="9" fontId="5" fillId="0" borderId="0" xfId="0" applyNumberFormat="1" applyFont="1" applyFill="1" applyBorder="1" applyAlignment="1" applyProtection="1">
      <alignment horizontal="center" vertical="center"/>
    </xf>
    <xf numFmtId="9" fontId="8" fillId="2" borderId="0" xfId="0" applyNumberFormat="1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0" fontId="1" fillId="0" borderId="19" xfId="0" applyNumberFormat="1" applyFont="1" applyFill="1" applyBorder="1" applyAlignment="1" applyProtection="1">
      <alignment vertical="center"/>
    </xf>
    <xf numFmtId="49" fontId="13" fillId="4" borderId="20" xfId="0" applyNumberFormat="1" applyFont="1" applyFill="1" applyBorder="1" applyAlignment="1" applyProtection="1">
      <alignment horizontal="center" vertical="center"/>
    </xf>
    <xf numFmtId="49" fontId="14" fillId="0" borderId="21" xfId="0" applyNumberFormat="1" applyFont="1" applyFill="1" applyBorder="1" applyAlignment="1" applyProtection="1">
      <alignment horizontal="left" vertical="center"/>
    </xf>
    <xf numFmtId="49" fontId="14" fillId="0" borderId="22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horizontal="left" vertical="center"/>
    </xf>
    <xf numFmtId="49" fontId="15" fillId="0" borderId="20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4" fontId="15" fillId="0" borderId="20" xfId="0" applyNumberFormat="1" applyFont="1" applyFill="1" applyBorder="1" applyAlignment="1" applyProtection="1">
      <alignment horizontal="right" vertical="center"/>
    </xf>
    <xf numFmtId="49" fontId="15" fillId="0" borderId="20" xfId="0" applyNumberFormat="1" applyFont="1" applyFill="1" applyBorder="1" applyAlignment="1" applyProtection="1">
      <alignment horizontal="right" vertical="center"/>
    </xf>
    <xf numFmtId="4" fontId="15" fillId="0" borderId="11" xfId="0" applyNumberFormat="1" applyFont="1" applyFill="1" applyBorder="1" applyAlignment="1" applyProtection="1">
      <alignment horizontal="right" vertical="center"/>
    </xf>
    <xf numFmtId="0" fontId="1" fillId="0" borderId="26" xfId="0" applyNumberFormat="1" applyFont="1" applyFill="1" applyBorder="1" applyAlignment="1" applyProtection="1">
      <alignment vertical="center"/>
    </xf>
    <xf numFmtId="0" fontId="1" fillId="0" borderId="27" xfId="0" applyNumberFormat="1" applyFont="1" applyFill="1" applyBorder="1" applyAlignment="1" applyProtection="1">
      <alignment vertical="center"/>
    </xf>
    <xf numFmtId="4" fontId="14" fillId="4" borderId="28" xfId="0" applyNumberFormat="1" applyFont="1" applyFill="1" applyBorder="1" applyAlignment="1" applyProtection="1">
      <alignment horizontal="right" vertical="center"/>
    </xf>
    <xf numFmtId="0" fontId="1" fillId="0" borderId="29" xfId="0" applyNumberFormat="1" applyFont="1" applyFill="1" applyBorder="1" applyAlignment="1" applyProtection="1">
      <alignment vertical="center"/>
    </xf>
    <xf numFmtId="0" fontId="1" fillId="0" borderId="30" xfId="0" applyNumberFormat="1" applyFont="1" applyFill="1" applyBorder="1" applyAlignment="1" applyProtection="1">
      <alignment vertical="center"/>
    </xf>
    <xf numFmtId="49" fontId="3" fillId="0" borderId="31" xfId="0" applyNumberFormat="1" applyFont="1" applyFill="1" applyBorder="1" applyAlignment="1" applyProtection="1">
      <alignment horizontal="right" vertical="center"/>
    </xf>
    <xf numFmtId="4" fontId="1" fillId="0" borderId="20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9" fontId="3" fillId="0" borderId="32" xfId="0" applyNumberFormat="1" applyFont="1" applyFill="1" applyBorder="1" applyAlignment="1" applyProtection="1">
      <alignment horizontal="left" vertical="center"/>
    </xf>
    <xf numFmtId="49" fontId="1" fillId="0" borderId="20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3" fillId="0" borderId="32" xfId="0" applyNumberFormat="1" applyFont="1" applyFill="1" applyBorder="1" applyAlignment="1" applyProtection="1">
      <alignment horizontal="right" vertical="center"/>
    </xf>
    <xf numFmtId="4" fontId="3" fillId="0" borderId="32" xfId="0" applyNumberFormat="1" applyFont="1" applyFill="1" applyBorder="1" applyAlignment="1" applyProtection="1">
      <alignment horizontal="right" vertical="center"/>
    </xf>
    <xf numFmtId="0" fontId="1" fillId="0" borderId="19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49" fontId="3" fillId="0" borderId="6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5" fillId="5" borderId="33" xfId="0" applyNumberFormat="1" applyFont="1" applyFill="1" applyBorder="1" applyAlignment="1" applyProtection="1">
      <alignment horizontal="left" vertical="center"/>
    </xf>
    <xf numFmtId="164" fontId="5" fillId="5" borderId="33" xfId="0" applyNumberFormat="1" applyFont="1" applyFill="1" applyBorder="1" applyAlignment="1" applyProtection="1">
      <alignment horizontal="right" vertical="center"/>
    </xf>
    <xf numFmtId="4" fontId="5" fillId="5" borderId="33" xfId="0" applyNumberFormat="1" applyFont="1" applyFill="1" applyBorder="1" applyAlignment="1" applyProtection="1">
      <alignment horizontal="right" vertical="center"/>
    </xf>
    <xf numFmtId="49" fontId="5" fillId="5" borderId="1" xfId="0" applyNumberFormat="1" applyFont="1" applyFill="1" applyBorder="1" applyAlignment="1" applyProtection="1">
      <alignment horizontal="right" vertical="center"/>
    </xf>
    <xf numFmtId="9" fontId="5" fillId="5" borderId="3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164" fontId="5" fillId="0" borderId="41" xfId="0" applyNumberFormat="1" applyFont="1" applyFill="1" applyBorder="1" applyAlignment="1" applyProtection="1">
      <alignment horizontal="right" vertical="center"/>
    </xf>
    <xf numFmtId="4" fontId="5" fillId="0" borderId="41" xfId="0" applyNumberFormat="1" applyFont="1" applyFill="1" applyBorder="1" applyAlignment="1" applyProtection="1">
      <alignment horizontal="right" vertical="center"/>
    </xf>
    <xf numFmtId="9" fontId="5" fillId="0" borderId="41" xfId="0" applyNumberFormat="1" applyFont="1" applyFill="1" applyBorder="1" applyAlignment="1" applyProtection="1">
      <alignment horizontal="center" vertical="center"/>
    </xf>
    <xf numFmtId="49" fontId="5" fillId="0" borderId="58" xfId="0" applyNumberFormat="1" applyFont="1" applyFill="1" applyBorder="1" applyAlignment="1" applyProtection="1">
      <alignment horizontal="right" vertical="center"/>
    </xf>
    <xf numFmtId="164" fontId="5" fillId="0" borderId="33" xfId="0" applyNumberFormat="1" applyFont="1" applyFill="1" applyBorder="1" applyAlignment="1" applyProtection="1">
      <alignment horizontal="right" vertical="center"/>
    </xf>
    <xf numFmtId="4" fontId="5" fillId="0" borderId="33" xfId="0" applyNumberFormat="1" applyFont="1" applyFill="1" applyBorder="1" applyAlignment="1" applyProtection="1">
      <alignment horizontal="right" vertical="center"/>
    </xf>
    <xf numFmtId="9" fontId="5" fillId="0" borderId="33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right" vertical="center"/>
    </xf>
    <xf numFmtId="4" fontId="5" fillId="6" borderId="0" xfId="0" applyNumberFormat="1" applyFont="1" applyFill="1" applyBorder="1" applyAlignment="1" applyProtection="1">
      <alignment horizontal="right" vertical="center"/>
      <protection locked="0"/>
    </xf>
    <xf numFmtId="164" fontId="6" fillId="0" borderId="33" xfId="0" applyNumberFormat="1" applyFont="1" applyFill="1" applyBorder="1" applyAlignment="1" applyProtection="1">
      <alignment horizontal="right" vertical="center"/>
    </xf>
    <xf numFmtId="4" fontId="6" fillId="0" borderId="33" xfId="0" applyNumberFormat="1" applyFont="1" applyFill="1" applyBorder="1" applyAlignment="1" applyProtection="1">
      <alignment horizontal="right" vertical="center"/>
    </xf>
    <xf numFmtId="9" fontId="6" fillId="0" borderId="33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4" fontId="6" fillId="6" borderId="33" xfId="0" applyNumberFormat="1" applyFont="1" applyFill="1" applyBorder="1" applyAlignment="1" applyProtection="1">
      <alignment horizontal="right" vertical="center"/>
      <protection locked="0"/>
    </xf>
    <xf numFmtId="49" fontId="6" fillId="0" borderId="41" xfId="0" applyNumberFormat="1" applyFont="1" applyFill="1" applyBorder="1" applyAlignment="1" applyProtection="1">
      <alignment horizontal="left" vertical="center"/>
    </xf>
    <xf numFmtId="164" fontId="6" fillId="0" borderId="41" xfId="0" applyNumberFormat="1" applyFont="1" applyFill="1" applyBorder="1" applyAlignment="1" applyProtection="1">
      <alignment horizontal="right" vertical="center"/>
    </xf>
    <xf numFmtId="4" fontId="6" fillId="0" borderId="41" xfId="0" applyNumberFormat="1" applyFont="1" applyFill="1" applyBorder="1" applyAlignment="1" applyProtection="1">
      <alignment horizontal="right" vertical="center"/>
    </xf>
    <xf numFmtId="9" fontId="6" fillId="0" borderId="41" xfId="0" applyNumberFormat="1" applyFont="1" applyFill="1" applyBorder="1" applyAlignment="1" applyProtection="1">
      <alignment horizontal="center" vertical="center"/>
    </xf>
    <xf numFmtId="49" fontId="6" fillId="0" borderId="58" xfId="0" applyNumberFormat="1" applyFont="1" applyFill="1" applyBorder="1" applyAlignment="1" applyProtection="1">
      <alignment horizontal="right" vertical="center"/>
    </xf>
    <xf numFmtId="0" fontId="1" fillId="6" borderId="0" xfId="0" applyNumberFormat="1" applyFont="1" applyFill="1" applyBorder="1" applyAlignment="1" applyProtection="1">
      <alignment vertical="center"/>
      <protection locked="0"/>
    </xf>
    <xf numFmtId="164" fontId="5" fillId="0" borderId="44" xfId="0" applyNumberFormat="1" applyFont="1" applyFill="1" applyBorder="1" applyAlignment="1" applyProtection="1">
      <alignment horizontal="right" vertical="center"/>
    </xf>
    <xf numFmtId="4" fontId="5" fillId="0" borderId="59" xfId="0" applyNumberFormat="1" applyFont="1" applyFill="1" applyBorder="1" applyAlignment="1" applyProtection="1">
      <alignment horizontal="right" vertical="center"/>
    </xf>
    <xf numFmtId="164" fontId="10" fillId="0" borderId="4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164" fontId="10" fillId="0" borderId="33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164" fontId="11" fillId="0" borderId="41" xfId="0" applyNumberFormat="1" applyFont="1" applyFill="1" applyBorder="1" applyAlignment="1" applyProtection="1">
      <alignment horizontal="right" vertical="center"/>
    </xf>
    <xf numFmtId="164" fontId="11" fillId="0" borderId="33" xfId="0" applyNumberFormat="1" applyFont="1" applyFill="1" applyBorder="1" applyAlignment="1" applyProtection="1">
      <alignment horizontal="right" vertical="center"/>
    </xf>
    <xf numFmtId="4" fontId="5" fillId="0" borderId="58" xfId="0" applyNumberFormat="1" applyFont="1" applyFill="1" applyBorder="1" applyAlignment="1" applyProtection="1">
      <alignment horizontal="right" vertical="center"/>
    </xf>
    <xf numFmtId="49" fontId="17" fillId="7" borderId="0" xfId="0" applyNumberFormat="1" applyFont="1" applyFill="1" applyBorder="1" applyAlignment="1">
      <alignment horizontal="left"/>
    </xf>
    <xf numFmtId="4" fontId="17" fillId="7" borderId="0" xfId="0" applyNumberFormat="1" applyFont="1" applyFill="1" applyBorder="1" applyAlignment="1">
      <alignment horizontal="left"/>
    </xf>
    <xf numFmtId="0" fontId="0" fillId="0" borderId="0" xfId="0"/>
    <xf numFmtId="49" fontId="18" fillId="8" borderId="0" xfId="0" applyNumberFormat="1" applyFont="1" applyFill="1" applyBorder="1" applyAlignment="1">
      <alignment horizontal="left"/>
    </xf>
    <xf numFmtId="4" fontId="18" fillId="8" borderId="0" xfId="0" applyNumberFormat="1" applyFont="1" applyFill="1" applyBorder="1" applyAlignment="1">
      <alignment horizontal="right"/>
    </xf>
    <xf numFmtId="49" fontId="17" fillId="9" borderId="0" xfId="0" applyNumberFormat="1" applyFont="1" applyFill="1" applyBorder="1" applyAlignment="1">
      <alignment horizontal="left"/>
    </xf>
    <xf numFmtId="4" fontId="17" fillId="9" borderId="0" xfId="0" applyNumberFormat="1" applyFont="1" applyFill="1" applyBorder="1" applyAlignment="1">
      <alignment horizontal="right"/>
    </xf>
    <xf numFmtId="49" fontId="19" fillId="10" borderId="0" xfId="0" applyNumberFormat="1" applyFont="1" applyFill="1" applyBorder="1" applyAlignment="1">
      <alignment horizontal="left"/>
    </xf>
    <xf numFmtId="4" fontId="19" fillId="10" borderId="0" xfId="0" applyNumberFormat="1" applyFont="1" applyFill="1" applyBorder="1" applyAlignment="1">
      <alignment horizontal="right"/>
    </xf>
    <xf numFmtId="49" fontId="20" fillId="11" borderId="0" xfId="0" applyNumberFormat="1" applyFont="1" applyFill="1" applyBorder="1" applyAlignment="1">
      <alignment horizontal="left"/>
    </xf>
    <xf numFmtId="4" fontId="20" fillId="11" borderId="0" xfId="0" applyNumberFormat="1" applyFont="1" applyFill="1" applyBorder="1" applyAlignment="1">
      <alignment horizontal="right"/>
    </xf>
    <xf numFmtId="49" fontId="18" fillId="8" borderId="0" xfId="0" applyNumberFormat="1" applyFont="1" applyFill="1" applyBorder="1" applyAlignment="1">
      <alignment horizontal="center"/>
    </xf>
    <xf numFmtId="49" fontId="0" fillId="0" borderId="0" xfId="0" applyNumberFormat="1"/>
    <xf numFmtId="4" fontId="0" fillId="0" borderId="0" xfId="0" applyNumberFormat="1"/>
    <xf numFmtId="4" fontId="17" fillId="6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8" fillId="2" borderId="4" xfId="0" applyNumberFormat="1" applyFont="1" applyFill="1" applyBorder="1" applyAlignment="1" applyProtection="1">
      <alignment horizontal="left" vertical="center"/>
    </xf>
    <xf numFmtId="49" fontId="5" fillId="0" borderId="41" xfId="0" applyNumberFormat="1" applyFont="1" applyFill="1" applyBorder="1" applyAlignment="1" applyProtection="1">
      <alignment horizontal="left" vertical="center"/>
    </xf>
    <xf numFmtId="49" fontId="5" fillId="0" borderId="33" xfId="0" applyNumberFormat="1" applyFont="1" applyFill="1" applyBorder="1" applyAlignment="1" applyProtection="1">
      <alignment horizontal="left" vertical="center"/>
    </xf>
    <xf numFmtId="49" fontId="6" fillId="0" borderId="33" xfId="0" applyNumberFormat="1" applyFont="1" applyFill="1" applyBorder="1" applyAlignment="1" applyProtection="1">
      <alignment horizontal="left" vertical="center"/>
    </xf>
    <xf numFmtId="49" fontId="5" fillId="0" borderId="44" xfId="0" applyNumberFormat="1" applyFont="1" applyFill="1" applyBorder="1" applyAlignment="1" applyProtection="1">
      <alignment horizontal="left" vertical="center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49" fontId="1" fillId="0" borderId="24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49" fontId="1" fillId="0" borderId="27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1" fillId="0" borderId="45" xfId="0" applyNumberFormat="1" applyFont="1" applyFill="1" applyBorder="1" applyAlignment="1" applyProtection="1">
      <alignment horizontal="left" vertical="center"/>
    </xf>
    <xf numFmtId="49" fontId="12" fillId="0" borderId="46" xfId="0" applyNumberFormat="1" applyFont="1" applyFill="1" applyBorder="1" applyAlignment="1" applyProtection="1">
      <alignment horizontal="center" vertical="center"/>
    </xf>
    <xf numFmtId="0" fontId="12" fillId="0" borderId="46" xfId="0" applyNumberFormat="1" applyFont="1" applyFill="1" applyBorder="1" applyAlignment="1" applyProtection="1">
      <alignment horizontal="center" vertical="center"/>
    </xf>
    <xf numFmtId="49" fontId="16" fillId="0" borderId="47" xfId="0" applyNumberFormat="1" applyFont="1" applyFill="1" applyBorder="1" applyAlignment="1" applyProtection="1">
      <alignment horizontal="left" vertical="center"/>
    </xf>
    <xf numFmtId="0" fontId="16" fillId="0" borderId="28" xfId="0" applyNumberFormat="1" applyFont="1" applyFill="1" applyBorder="1" applyAlignment="1" applyProtection="1">
      <alignment horizontal="left" vertical="center"/>
    </xf>
    <xf numFmtId="49" fontId="15" fillId="0" borderId="47" xfId="0" applyNumberFormat="1" applyFont="1" applyFill="1" applyBorder="1" applyAlignment="1" applyProtection="1">
      <alignment horizontal="left" vertical="center"/>
    </xf>
    <xf numFmtId="0" fontId="15" fillId="0" borderId="28" xfId="0" applyNumberFormat="1" applyFont="1" applyFill="1" applyBorder="1" applyAlignment="1" applyProtection="1">
      <alignment horizontal="left" vertical="center"/>
    </xf>
    <xf numFmtId="49" fontId="14" fillId="0" borderId="47" xfId="0" applyNumberFormat="1" applyFont="1" applyFill="1" applyBorder="1" applyAlignment="1" applyProtection="1">
      <alignment horizontal="left" vertical="center"/>
    </xf>
    <xf numFmtId="0" fontId="14" fillId="0" borderId="28" xfId="0" applyNumberFormat="1" applyFont="1" applyFill="1" applyBorder="1" applyAlignment="1" applyProtection="1">
      <alignment horizontal="left" vertical="center"/>
    </xf>
    <xf numFmtId="49" fontId="14" fillId="4" borderId="47" xfId="0" applyNumberFormat="1" applyFont="1" applyFill="1" applyBorder="1" applyAlignment="1" applyProtection="1">
      <alignment horizontal="left" vertical="center"/>
    </xf>
    <xf numFmtId="0" fontId="14" fillId="4" borderId="46" xfId="0" applyNumberFormat="1" applyFont="1" applyFill="1" applyBorder="1" applyAlignment="1" applyProtection="1">
      <alignment horizontal="left" vertical="center"/>
    </xf>
    <xf numFmtId="49" fontId="15" fillId="0" borderId="48" xfId="0" applyNumberFormat="1" applyFont="1" applyFill="1" applyBorder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horizontal="left" vertical="center"/>
    </xf>
    <xf numFmtId="0" fontId="15" fillId="0" borderId="49" xfId="0" applyNumberFormat="1" applyFont="1" applyFill="1" applyBorder="1" applyAlignment="1" applyProtection="1">
      <alignment horizontal="left" vertical="center"/>
    </xf>
    <xf numFmtId="49" fontId="15" fillId="0" borderId="15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50" xfId="0" applyNumberFormat="1" applyFont="1" applyFill="1" applyBorder="1" applyAlignment="1" applyProtection="1">
      <alignment horizontal="left" vertical="center"/>
    </xf>
    <xf numFmtId="49" fontId="15" fillId="0" borderId="51" xfId="0" applyNumberFormat="1" applyFont="1" applyFill="1" applyBorder="1" applyAlignment="1" applyProtection="1">
      <alignment horizontal="left" vertical="center"/>
    </xf>
    <xf numFmtId="0" fontId="15" fillId="0" borderId="30" xfId="0" applyNumberFormat="1" applyFont="1" applyFill="1" applyBorder="1" applyAlignment="1" applyProtection="1">
      <alignment horizontal="left" vertical="center"/>
    </xf>
    <xf numFmtId="0" fontId="15" fillId="0" borderId="52" xfId="0" applyNumberFormat="1" applyFont="1" applyFill="1" applyBorder="1" applyAlignment="1" applyProtection="1">
      <alignment horizontal="left" vertical="center"/>
    </xf>
    <xf numFmtId="49" fontId="14" fillId="0" borderId="30" xfId="0" applyNumberFormat="1" applyFont="1" applyFill="1" applyBorder="1" applyAlignment="1" applyProtection="1">
      <alignment horizontal="left" vertical="center"/>
    </xf>
    <xf numFmtId="0" fontId="14" fillId="0" borderId="30" xfId="0" applyNumberFormat="1" applyFont="1" applyFill="1" applyBorder="1" applyAlignment="1" applyProtection="1">
      <alignment horizontal="left" vertical="center"/>
    </xf>
    <xf numFmtId="49" fontId="3" fillId="0" borderId="38" xfId="0" applyNumberFormat="1" applyFont="1" applyFill="1" applyBorder="1" applyAlignment="1" applyProtection="1">
      <alignment horizontal="left" vertical="center"/>
    </xf>
    <xf numFmtId="0" fontId="3" fillId="0" borderId="39" xfId="0" applyNumberFormat="1" applyFont="1" applyFill="1" applyBorder="1" applyAlignment="1" applyProtection="1">
      <alignment horizontal="left" vertical="center"/>
    </xf>
    <xf numFmtId="0" fontId="3" fillId="0" borderId="53" xfId="0" applyNumberFormat="1" applyFont="1" applyFill="1" applyBorder="1" applyAlignment="1" applyProtection="1">
      <alignment horizontal="left" vertical="center"/>
    </xf>
    <xf numFmtId="49" fontId="1" fillId="0" borderId="47" xfId="0" applyNumberFormat="1" applyFont="1" applyFill="1" applyBorder="1" applyAlignment="1" applyProtection="1">
      <alignment horizontal="left" vertical="center"/>
    </xf>
    <xf numFmtId="0" fontId="1" fillId="0" borderId="46" xfId="0" applyNumberFormat="1" applyFont="1" applyFill="1" applyBorder="1" applyAlignment="1" applyProtection="1">
      <alignment horizontal="left" vertical="center"/>
    </xf>
    <xf numFmtId="0" fontId="1" fillId="0" borderId="28" xfId="0" applyNumberFormat="1" applyFont="1" applyFill="1" applyBorder="1" applyAlignment="1" applyProtection="1">
      <alignment horizontal="left" vertical="center"/>
    </xf>
    <xf numFmtId="49" fontId="1" fillId="0" borderId="54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horizontal="left" vertical="center"/>
    </xf>
    <xf numFmtId="0" fontId="1" fillId="0" borderId="55" xfId="0" applyNumberFormat="1" applyFont="1" applyFill="1" applyBorder="1" applyAlignment="1" applyProtection="1">
      <alignment horizontal="left" vertical="center"/>
    </xf>
    <xf numFmtId="49" fontId="3" fillId="0" borderId="56" xfId="0" applyNumberFormat="1" applyFont="1" applyFill="1" applyBorder="1" applyAlignment="1" applyProtection="1">
      <alignment horizontal="left" vertical="center"/>
    </xf>
    <xf numFmtId="0" fontId="3" fillId="0" borderId="29" xfId="0" applyNumberFormat="1" applyFont="1" applyFill="1" applyBorder="1" applyAlignment="1" applyProtection="1">
      <alignment horizontal="left" vertical="center"/>
    </xf>
    <xf numFmtId="0" fontId="3" fillId="0" borderId="57" xfId="0" applyNumberFormat="1" applyFont="1" applyFill="1" applyBorder="1" applyAlignment="1" applyProtection="1">
      <alignment horizontal="left" vertical="center"/>
    </xf>
    <xf numFmtId="49" fontId="14" fillId="0" borderId="56" xfId="0" applyNumberFormat="1" applyFont="1" applyFill="1" applyBorder="1" applyAlignment="1" applyProtection="1">
      <alignment horizontal="left" vertical="center"/>
    </xf>
    <xf numFmtId="0" fontId="14" fillId="0" borderId="29" xfId="0" applyNumberFormat="1" applyFont="1" applyFill="1" applyBorder="1" applyAlignment="1" applyProtection="1">
      <alignment horizontal="left" vertical="center"/>
    </xf>
    <xf numFmtId="0" fontId="14" fillId="0" borderId="57" xfId="0" applyNumberFormat="1" applyFont="1" applyFill="1" applyBorder="1" applyAlignment="1" applyProtection="1">
      <alignment horizontal="left" vertical="center"/>
    </xf>
    <xf numFmtId="4" fontId="14" fillId="0" borderId="56" xfId="0" applyNumberFormat="1" applyFont="1" applyFill="1" applyBorder="1" applyAlignment="1" applyProtection="1">
      <alignment horizontal="right" vertical="center"/>
    </xf>
    <xf numFmtId="0" fontId="14" fillId="0" borderId="29" xfId="0" applyNumberFormat="1" applyFont="1" applyFill="1" applyBorder="1" applyAlignment="1" applyProtection="1">
      <alignment horizontal="right" vertical="center"/>
    </xf>
    <xf numFmtId="0" fontId="14" fillId="0" borderId="57" xfId="0" applyNumberFormat="1" applyFont="1" applyFill="1" applyBorder="1" applyAlignment="1" applyProtection="1">
      <alignment horizontal="right" vertical="center"/>
    </xf>
    <xf numFmtId="49" fontId="2" fillId="0" borderId="19" xfId="0" applyNumberFormat="1" applyFont="1" applyFill="1" applyBorder="1" applyAlignment="1" applyProtection="1">
      <alignment horizontal="center"/>
    </xf>
    <xf numFmtId="0" fontId="1" fillId="0" borderId="24" xfId="0" applyNumberFormat="1" applyFont="1" applyFill="1" applyBorder="1" applyAlignment="1" applyProtection="1">
      <alignment horizontal="left" vertical="center"/>
    </xf>
    <xf numFmtId="0" fontId="1" fillId="0" borderId="35" xfId="0" applyNumberFormat="1" applyFont="1" applyFill="1" applyBorder="1" applyAlignment="1" applyProtection="1">
      <alignment horizontal="left" vertical="center"/>
    </xf>
    <xf numFmtId="0" fontId="1" fillId="0" borderId="30" xfId="0" applyNumberFormat="1" applyFont="1" applyFill="1" applyBorder="1" applyAlignment="1" applyProtection="1">
      <alignment horizontal="left" vertical="center"/>
    </xf>
    <xf numFmtId="0" fontId="1" fillId="0" borderId="36" xfId="0" applyNumberFormat="1" applyFont="1" applyFill="1" applyBorder="1" applyAlignment="1" applyProtection="1">
      <alignment horizontal="left" vertical="center"/>
    </xf>
    <xf numFmtId="49" fontId="3" fillId="0" borderId="42" xfId="0" applyNumberFormat="1" applyFont="1" applyFill="1" applyBorder="1" applyAlignment="1" applyProtection="1">
      <alignment horizontal="left" vertical="center"/>
    </xf>
    <xf numFmtId="0" fontId="3" fillId="0" borderId="43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49" fontId="3" fillId="0" borderId="37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26" xfId="0" applyNumberFormat="1" applyFont="1" applyFill="1" applyBorder="1" applyAlignment="1" applyProtection="1">
      <alignment horizontal="left" vertical="center"/>
    </xf>
    <xf numFmtId="49" fontId="3" fillId="0" borderId="38" xfId="0" applyNumberFormat="1" applyFont="1" applyFill="1" applyBorder="1" applyAlignment="1" applyProtection="1">
      <alignment horizontal="center" vertical="center"/>
    </xf>
    <xf numFmtId="0" fontId="3" fillId="0" borderId="39" xfId="0" applyNumberFormat="1" applyFont="1" applyFill="1" applyBorder="1" applyAlignment="1" applyProtection="1">
      <alignment horizontal="center" vertical="center"/>
    </xf>
    <xf numFmtId="0" fontId="3" fillId="0" borderId="40" xfId="0" applyNumberFormat="1" applyFont="1" applyFill="1" applyBorder="1" applyAlignment="1" applyProtection="1">
      <alignment horizontal="center" vertical="center"/>
    </xf>
    <xf numFmtId="49" fontId="3" fillId="0" borderId="35" xfId="0" applyNumberFormat="1" applyFont="1" applyFill="1" applyBorder="1" applyAlignment="1" applyProtection="1">
      <alignment horizontal="left" vertical="center"/>
    </xf>
    <xf numFmtId="0" fontId="3" fillId="0" borderId="30" xfId="0" applyNumberFormat="1" applyFont="1" applyFill="1" applyBorder="1" applyAlignment="1" applyProtection="1">
      <alignment horizontal="left" vertical="center"/>
    </xf>
    <xf numFmtId="0" fontId="3" fillId="0" borderId="36" xfId="0" applyNumberFormat="1" applyFont="1" applyFill="1" applyBorder="1" applyAlignment="1" applyProtection="1">
      <alignment horizontal="left" vertical="center"/>
    </xf>
    <xf numFmtId="49" fontId="8" fillId="2" borderId="4" xfId="0" applyNumberFormat="1" applyFont="1" applyFill="1" applyBorder="1" applyAlignment="1" applyProtection="1">
      <alignment horizontal="left" vertical="center"/>
    </xf>
    <xf numFmtId="0" fontId="8" fillId="2" borderId="4" xfId="0" applyNumberFormat="1" applyFont="1" applyFill="1" applyBorder="1" applyAlignment="1" applyProtection="1">
      <alignment horizontal="left" vertical="center"/>
    </xf>
    <xf numFmtId="49" fontId="5" fillId="0" borderId="58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4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5" fillId="0" borderId="3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33" xfId="0" applyNumberFormat="1" applyFont="1" applyFill="1" applyBorder="1" applyAlignment="1" applyProtection="1">
      <alignment horizontal="left" vertical="center"/>
    </xf>
    <xf numFmtId="49" fontId="6" fillId="0" borderId="58" xfId="0" applyNumberFormat="1" applyFont="1" applyFill="1" applyBorder="1" applyAlignment="1" applyProtection="1">
      <alignment horizontal="left" vertical="center"/>
    </xf>
    <xf numFmtId="0" fontId="6" fillId="0" borderId="41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5" fillId="5" borderId="1" xfId="0" applyNumberFormat="1" applyFont="1" applyFill="1" applyBorder="1" applyAlignment="1" applyProtection="1">
      <alignment horizontal="left" vertical="center"/>
    </xf>
    <xf numFmtId="0" fontId="5" fillId="0" borderId="19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5" fillId="0" borderId="44" xfId="0" applyNumberFormat="1" applyFont="1" applyFill="1" applyBorder="1" applyAlignment="1" applyProtection="1">
      <alignment horizontal="left" vertical="center"/>
    </xf>
    <xf numFmtId="0" fontId="5" fillId="0" borderId="44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49" fontId="10" fillId="0" borderId="41" xfId="0" applyNumberFormat="1" applyFont="1" applyFill="1" applyBorder="1" applyAlignment="1" applyProtection="1">
      <alignment horizontal="left" vertical="center"/>
    </xf>
    <xf numFmtId="0" fontId="10" fillId="0" borderId="41" xfId="0" applyNumberFormat="1" applyFont="1" applyFill="1" applyBorder="1" applyAlignment="1" applyProtection="1">
      <alignment horizontal="left" vertical="center"/>
    </xf>
    <xf numFmtId="49" fontId="5" fillId="0" borderId="33" xfId="0" applyNumberFormat="1" applyFont="1" applyFill="1" applyBorder="1" applyAlignment="1" applyProtection="1">
      <alignment horizontal="left" vertical="center"/>
    </xf>
    <xf numFmtId="49" fontId="10" fillId="0" borderId="33" xfId="0" applyNumberFormat="1" applyFont="1" applyFill="1" applyBorder="1" applyAlignment="1" applyProtection="1">
      <alignment horizontal="left" vertical="center"/>
    </xf>
    <xf numFmtId="0" fontId="10" fillId="0" borderId="33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49" fontId="11" fillId="0" borderId="41" xfId="0" applyNumberFormat="1" applyFont="1" applyFill="1" applyBorder="1" applyAlignment="1" applyProtection="1">
      <alignment horizontal="left" vertical="center"/>
    </xf>
    <xf numFmtId="0" fontId="11" fillId="0" borderId="41" xfId="0" applyNumberFormat="1" applyFont="1" applyFill="1" applyBorder="1" applyAlignment="1" applyProtection="1">
      <alignment horizontal="left" vertical="center"/>
    </xf>
    <xf numFmtId="49" fontId="11" fillId="0" borderId="33" xfId="0" applyNumberFormat="1" applyFont="1" applyFill="1" applyBorder="1" applyAlignment="1" applyProtection="1">
      <alignment horizontal="left" vertical="center"/>
    </xf>
    <xf numFmtId="0" fontId="11" fillId="0" borderId="33" xfId="0" applyNumberFormat="1" applyFont="1" applyFill="1" applyBorder="1" applyAlignment="1" applyProtection="1">
      <alignment horizontal="left" vertical="center"/>
    </xf>
    <xf numFmtId="49" fontId="5" fillId="0" borderId="41" xfId="0" applyNumberFormat="1" applyFont="1" applyFill="1" applyBorder="1" applyAlignment="1" applyProtection="1">
      <alignment horizontal="left" vertical="center"/>
    </xf>
    <xf numFmtId="4" fontId="17" fillId="7" borderId="0" xfId="0" applyNumberFormat="1" applyFont="1" applyFill="1" applyBorder="1" applyAlignment="1" applyProtection="1">
      <alignment horizontal="left"/>
      <protection locked="0"/>
    </xf>
    <xf numFmtId="4" fontId="20" fillId="11" borderId="0" xfId="0" applyNumberFormat="1" applyFont="1" applyFill="1" applyBorder="1" applyAlignment="1" applyProtection="1">
      <alignment horizontal="right"/>
      <protection locked="0"/>
    </xf>
    <xf numFmtId="4" fontId="18" fillId="8" borderId="0" xfId="0" applyNumberFormat="1" applyFont="1" applyFill="1" applyBorder="1" applyAlignment="1" applyProtection="1">
      <alignment horizontal="right"/>
      <protection locked="0"/>
    </xf>
    <xf numFmtId="4" fontId="17" fillId="9" borderId="0" xfId="0" applyNumberFormat="1" applyFont="1" applyFill="1" applyBorder="1" applyAlignment="1" applyProtection="1">
      <alignment horizontal="right"/>
      <protection locked="0"/>
    </xf>
    <xf numFmtId="4" fontId="17" fillId="6" borderId="0" xfId="0" applyNumberFormat="1" applyFont="1" applyFill="1" applyBorder="1" applyAlignment="1" applyProtection="1">
      <alignment horizontal="right"/>
      <protection locked="0"/>
    </xf>
    <xf numFmtId="4" fontId="21" fillId="12" borderId="0" xfId="0" applyNumberFormat="1" applyFont="1" applyFill="1" applyBorder="1" applyAlignment="1" applyProtection="1">
      <alignment horizontal="right"/>
      <protection locked="0"/>
    </xf>
    <xf numFmtId="4" fontId="17" fillId="7" borderId="0" xfId="0" applyNumberFormat="1" applyFont="1" applyFill="1" applyBorder="1" applyAlignment="1" applyProtection="1">
      <alignment horizontal="left"/>
    </xf>
    <xf numFmtId="49" fontId="17" fillId="7" borderId="0" xfId="0" applyNumberFormat="1" applyFont="1" applyFill="1" applyBorder="1" applyAlignment="1" applyProtection="1">
      <alignment horizontal="left"/>
    </xf>
    <xf numFmtId="4" fontId="20" fillId="11" borderId="0" xfId="0" applyNumberFormat="1" applyFont="1" applyFill="1" applyBorder="1" applyAlignment="1" applyProtection="1">
      <alignment horizontal="right"/>
    </xf>
    <xf numFmtId="49" fontId="20" fillId="11" borderId="0" xfId="0" applyNumberFormat="1" applyFont="1" applyFill="1" applyBorder="1" applyAlignment="1" applyProtection="1">
      <alignment horizontal="left"/>
    </xf>
    <xf numFmtId="4" fontId="18" fillId="8" borderId="0" xfId="0" applyNumberFormat="1" applyFont="1" applyFill="1" applyBorder="1" applyAlignment="1" applyProtection="1">
      <alignment horizontal="right"/>
    </xf>
    <xf numFmtId="49" fontId="18" fillId="8" borderId="0" xfId="0" applyNumberFormat="1" applyFont="1" applyFill="1" applyBorder="1" applyAlignment="1" applyProtection="1">
      <alignment horizontal="left"/>
    </xf>
    <xf numFmtId="4" fontId="17" fillId="9" borderId="0" xfId="0" applyNumberFormat="1" applyFont="1" applyFill="1" applyBorder="1" applyAlignment="1" applyProtection="1">
      <alignment horizontal="right"/>
    </xf>
    <xf numFmtId="49" fontId="17" fillId="9" borderId="0" xfId="0" applyNumberFormat="1" applyFont="1" applyFill="1" applyBorder="1" applyAlignment="1" applyProtection="1">
      <alignment horizontal="left"/>
    </xf>
    <xf numFmtId="4" fontId="21" fillId="12" borderId="0" xfId="0" applyNumberFormat="1" applyFont="1" applyFill="1" applyBorder="1" applyAlignment="1" applyProtection="1">
      <alignment horizontal="right"/>
    </xf>
    <xf numFmtId="49" fontId="21" fillId="12" borderId="0" xfId="0" applyNumberFormat="1" applyFont="1" applyFill="1" applyBorder="1" applyAlignment="1" applyProtection="1">
      <alignment horizontal="left"/>
    </xf>
    <xf numFmtId="4" fontId="0" fillId="0" borderId="0" xfId="0" applyNumberFormat="1" applyProtection="1"/>
    <xf numFmtId="49" fontId="0" fillId="0" borderId="0" xfId="0" applyNumberFormat="1" applyProtection="1"/>
    <xf numFmtId="4" fontId="1" fillId="6" borderId="2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22" fillId="0" borderId="33" xfId="0" applyNumberFormat="1" applyFont="1" applyFill="1" applyBorder="1" applyAlignment="1" applyProtection="1">
      <alignment horizontal="left" vertical="center"/>
    </xf>
    <xf numFmtId="49" fontId="23" fillId="0" borderId="33" xfId="0" applyNumberFormat="1" applyFont="1" applyFill="1" applyBorder="1" applyAlignment="1" applyProtection="1">
      <alignment horizontal="left" vertical="center"/>
    </xf>
    <xf numFmtId="49" fontId="22" fillId="0" borderId="1" xfId="0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1" fillId="3" borderId="5" xfId="0" applyNumberFormat="1" applyFont="1" applyFill="1" applyBorder="1" applyAlignment="1" applyProtection="1">
      <alignment horizontal="left" vertical="center" wrapText="1"/>
    </xf>
    <xf numFmtId="0" fontId="1" fillId="3" borderId="0" xfId="0" applyNumberFormat="1" applyFont="1" applyFill="1" applyBorder="1" applyAlignment="1" applyProtection="1">
      <alignment horizontal="left" vertical="center"/>
    </xf>
    <xf numFmtId="0" fontId="1" fillId="3" borderId="0" xfId="0" applyNumberFormat="1" applyFont="1" applyFill="1" applyBorder="1" applyAlignment="1" applyProtection="1">
      <alignment horizontal="left" vertical="center" wrapText="1"/>
    </xf>
    <xf numFmtId="49" fontId="1" fillId="3" borderId="0" xfId="0" applyNumberFormat="1" applyFont="1" applyFill="1" applyBorder="1" applyAlignment="1" applyProtection="1">
      <alignment horizontal="left" vertical="center"/>
    </xf>
    <xf numFmtId="0" fontId="1" fillId="3" borderId="27" xfId="0" applyNumberFormat="1" applyFont="1" applyFill="1" applyBorder="1" applyAlignment="1" applyProtection="1">
      <alignment horizontal="left" vertical="center"/>
    </xf>
    <xf numFmtId="0" fontId="1" fillId="3" borderId="30" xfId="0" applyNumberFormat="1" applyFont="1" applyFill="1" applyBorder="1" applyAlignment="1" applyProtection="1">
      <alignment horizontal="left" vertical="center"/>
    </xf>
    <xf numFmtId="0" fontId="1" fillId="3" borderId="36" xfId="0" applyNumberFormat="1" applyFont="1" applyFill="1" applyBorder="1" applyAlignment="1" applyProtection="1">
      <alignment horizontal="left" vertical="center"/>
    </xf>
    <xf numFmtId="49" fontId="24" fillId="0" borderId="38" xfId="0" applyNumberFormat="1" applyFont="1" applyFill="1" applyBorder="1" applyAlignment="1" applyProtection="1">
      <alignment horizontal="left" vertical="center"/>
    </xf>
    <xf numFmtId="4" fontId="1" fillId="6" borderId="1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80"/>
      <rgbColor rgb="00000000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workbookViewId="0">
      <selection activeCell="C6" sqref="C6:D7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 x14ac:dyDescent="0.25">
      <c r="A1" s="75"/>
      <c r="B1" s="49"/>
      <c r="C1" s="140" t="s">
        <v>970</v>
      </c>
      <c r="D1" s="141"/>
      <c r="E1" s="141"/>
      <c r="F1" s="141"/>
      <c r="G1" s="141"/>
      <c r="H1" s="141"/>
      <c r="I1" s="141"/>
    </row>
    <row r="2" spans="1:10" x14ac:dyDescent="0.25">
      <c r="A2" s="142" t="s">
        <v>1</v>
      </c>
      <c r="B2" s="143"/>
      <c r="C2" s="146" t="str">
        <f>'Stavební rozpočet'!C2</f>
        <v>Stavební úpravy budovy, stání aut, změna užívání části budovy ÚHÚL Brandýs nad Labem</v>
      </c>
      <c r="D2" s="147"/>
      <c r="E2" s="149" t="s">
        <v>640</v>
      </c>
      <c r="F2" s="149" t="str">
        <f>'Stavební rozpočet'!I2</f>
        <v>ÚHUL Brandýs nad Labem</v>
      </c>
      <c r="G2" s="143"/>
      <c r="H2" s="149" t="s">
        <v>992</v>
      </c>
      <c r="I2" s="150"/>
      <c r="J2" s="30"/>
    </row>
    <row r="3" spans="1:10" ht="25.65" customHeight="1" x14ac:dyDescent="0.25">
      <c r="A3" s="144"/>
      <c r="B3" s="145"/>
      <c r="C3" s="148"/>
      <c r="D3" s="148"/>
      <c r="E3" s="145"/>
      <c r="F3" s="145"/>
      <c r="G3" s="145"/>
      <c r="H3" s="145"/>
      <c r="I3" s="151"/>
      <c r="J3" s="30"/>
    </row>
    <row r="4" spans="1:10" x14ac:dyDescent="0.25">
      <c r="A4" s="153" t="s">
        <v>2</v>
      </c>
      <c r="B4" s="145"/>
      <c r="C4" s="154" t="str">
        <f>'Stavební rozpočet'!C4</f>
        <v xml:space="preserve"> </v>
      </c>
      <c r="D4" s="145"/>
      <c r="E4" s="154" t="s">
        <v>641</v>
      </c>
      <c r="F4" s="154" t="str">
        <f>'Stavební rozpočet'!I4</f>
        <v>CHMELS - projekty a systémy s.r.o.</v>
      </c>
      <c r="G4" s="145"/>
      <c r="H4" s="154" t="s">
        <v>992</v>
      </c>
      <c r="I4" s="152" t="s">
        <v>996</v>
      </c>
      <c r="J4" s="30"/>
    </row>
    <row r="5" spans="1:10" x14ac:dyDescent="0.25">
      <c r="A5" s="144"/>
      <c r="B5" s="145"/>
      <c r="C5" s="145"/>
      <c r="D5" s="145"/>
      <c r="E5" s="145"/>
      <c r="F5" s="145"/>
      <c r="G5" s="145"/>
      <c r="H5" s="145"/>
      <c r="I5" s="151"/>
      <c r="J5" s="30"/>
    </row>
    <row r="6" spans="1:10" x14ac:dyDescent="0.25">
      <c r="A6" s="153" t="s">
        <v>3</v>
      </c>
      <c r="B6" s="145"/>
      <c r="C6" s="154" t="str">
        <f>'Stavební rozpočet'!C6</f>
        <v>p.č. 1586/1,1586/22 k.ú. Stará Boleslav, 250 01</v>
      </c>
      <c r="D6" s="145"/>
      <c r="E6" s="154" t="s">
        <v>642</v>
      </c>
      <c r="F6" s="154" t="str">
        <f>'Stavební rozpočet'!I6</f>
        <v> </v>
      </c>
      <c r="G6" s="145"/>
      <c r="H6" s="154" t="s">
        <v>992</v>
      </c>
      <c r="I6" s="152"/>
      <c r="J6" s="30"/>
    </row>
    <row r="7" spans="1:10" x14ac:dyDescent="0.25">
      <c r="A7" s="144"/>
      <c r="B7" s="145"/>
      <c r="C7" s="145"/>
      <c r="D7" s="145"/>
      <c r="E7" s="145"/>
      <c r="F7" s="145"/>
      <c r="G7" s="145"/>
      <c r="H7" s="145"/>
      <c r="I7" s="151"/>
      <c r="J7" s="30"/>
    </row>
    <row r="8" spans="1:10" x14ac:dyDescent="0.25">
      <c r="A8" s="153" t="s">
        <v>620</v>
      </c>
      <c r="B8" s="145"/>
      <c r="C8" s="154" t="str">
        <f>'Stavební rozpočet'!F4</f>
        <v xml:space="preserve"> </v>
      </c>
      <c r="D8" s="145"/>
      <c r="E8" s="154" t="s">
        <v>621</v>
      </c>
      <c r="F8" s="154" t="str">
        <f>'Stavební rozpočet'!F6</f>
        <v xml:space="preserve"> </v>
      </c>
      <c r="G8" s="145"/>
      <c r="H8" s="157" t="s">
        <v>993</v>
      </c>
      <c r="I8" s="152" t="s">
        <v>190</v>
      </c>
      <c r="J8" s="30"/>
    </row>
    <row r="9" spans="1:10" x14ac:dyDescent="0.25">
      <c r="A9" s="144"/>
      <c r="B9" s="145"/>
      <c r="C9" s="145"/>
      <c r="D9" s="145"/>
      <c r="E9" s="145"/>
      <c r="F9" s="145"/>
      <c r="G9" s="145"/>
      <c r="H9" s="145"/>
      <c r="I9" s="151"/>
      <c r="J9" s="30"/>
    </row>
    <row r="10" spans="1:10" x14ac:dyDescent="0.25">
      <c r="A10" s="153" t="s">
        <v>4</v>
      </c>
      <c r="B10" s="145"/>
      <c r="C10" s="154">
        <f>'Stavební rozpočet'!C8</f>
        <v>8126913</v>
      </c>
      <c r="D10" s="145"/>
      <c r="E10" s="154" t="s">
        <v>643</v>
      </c>
      <c r="F10" s="154" t="str">
        <f>'Stavební rozpočet'!I8</f>
        <v> </v>
      </c>
      <c r="G10" s="145"/>
      <c r="H10" s="157" t="s">
        <v>994</v>
      </c>
      <c r="I10" s="158" t="str">
        <f>'Stavební rozpočet'!F8</f>
        <v>08.08.2019</v>
      </c>
      <c r="J10" s="30"/>
    </row>
    <row r="11" spans="1:10" x14ac:dyDescent="0.25">
      <c r="A11" s="155"/>
      <c r="B11" s="156"/>
      <c r="C11" s="156"/>
      <c r="D11" s="156"/>
      <c r="E11" s="156"/>
      <c r="F11" s="156"/>
      <c r="G11" s="156"/>
      <c r="H11" s="156"/>
      <c r="I11" s="159"/>
      <c r="J11" s="30"/>
    </row>
    <row r="12" spans="1:10" ht="23.4" customHeight="1" x14ac:dyDescent="0.25">
      <c r="A12" s="160" t="s">
        <v>955</v>
      </c>
      <c r="B12" s="161"/>
      <c r="C12" s="161"/>
      <c r="D12" s="161"/>
      <c r="E12" s="161"/>
      <c r="F12" s="161"/>
      <c r="G12" s="161"/>
      <c r="H12" s="161"/>
      <c r="I12" s="161"/>
    </row>
    <row r="13" spans="1:10" ht="26.4" customHeight="1" x14ac:dyDescent="0.25">
      <c r="A13" s="50" t="s">
        <v>956</v>
      </c>
      <c r="B13" s="162" t="s">
        <v>968</v>
      </c>
      <c r="C13" s="163"/>
      <c r="D13" s="50" t="s">
        <v>971</v>
      </c>
      <c r="E13" s="162" t="s">
        <v>977</v>
      </c>
      <c r="F13" s="163"/>
      <c r="G13" s="50" t="s">
        <v>978</v>
      </c>
      <c r="H13" s="162" t="s">
        <v>995</v>
      </c>
      <c r="I13" s="163"/>
      <c r="J13" s="30"/>
    </row>
    <row r="14" spans="1:10" ht="15.15" customHeight="1" x14ac:dyDescent="0.25">
      <c r="A14" s="51" t="s">
        <v>957</v>
      </c>
      <c r="B14" s="55" t="s">
        <v>969</v>
      </c>
      <c r="C14" s="59">
        <f>SUM('Stavební rozpočet'!AB12:AB263)</f>
        <v>0</v>
      </c>
      <c r="D14" s="164"/>
      <c r="E14" s="165"/>
      <c r="F14" s="59">
        <f>VORN!I15</f>
        <v>0</v>
      </c>
      <c r="G14" s="164" t="s">
        <v>979</v>
      </c>
      <c r="H14" s="165"/>
      <c r="I14" s="59">
        <f>VORN!I21</f>
        <v>0</v>
      </c>
      <c r="J14" s="30"/>
    </row>
    <row r="15" spans="1:10" ht="15.15" customHeight="1" x14ac:dyDescent="0.25">
      <c r="A15" s="52"/>
      <c r="B15" s="55" t="s">
        <v>652</v>
      </c>
      <c r="C15" s="59">
        <f>SUM('Stavební rozpočet'!AC12:AC263)</f>
        <v>0</v>
      </c>
      <c r="D15" s="164"/>
      <c r="E15" s="165"/>
      <c r="F15" s="59">
        <f>VORN!I16</f>
        <v>0</v>
      </c>
      <c r="G15" s="164" t="s">
        <v>980</v>
      </c>
      <c r="H15" s="165"/>
      <c r="I15" s="59">
        <f>VORN!I22</f>
        <v>0</v>
      </c>
      <c r="J15" s="30"/>
    </row>
    <row r="16" spans="1:10" ht="15.15" customHeight="1" x14ac:dyDescent="0.25">
      <c r="A16" s="51" t="s">
        <v>958</v>
      </c>
      <c r="B16" s="55" t="s">
        <v>969</v>
      </c>
      <c r="C16" s="59">
        <f>SUM('Stavební rozpočet'!AD12:AD263)</f>
        <v>0</v>
      </c>
      <c r="D16" s="164"/>
      <c r="E16" s="165"/>
      <c r="F16" s="59">
        <f>VORN!I17</f>
        <v>0</v>
      </c>
      <c r="G16" s="164" t="s">
        <v>981</v>
      </c>
      <c r="H16" s="165"/>
      <c r="I16" s="59">
        <f>VORN!I23</f>
        <v>0</v>
      </c>
      <c r="J16" s="30"/>
    </row>
    <row r="17" spans="1:10" ht="15.15" customHeight="1" x14ac:dyDescent="0.25">
      <c r="A17" s="52"/>
      <c r="B17" s="55" t="s">
        <v>652</v>
      </c>
      <c r="C17" s="59">
        <f>SUM('Stavební rozpočet'!AE12:AE263)</f>
        <v>0</v>
      </c>
      <c r="D17" s="164"/>
      <c r="E17" s="165"/>
      <c r="F17" s="60"/>
      <c r="G17" s="164" t="s">
        <v>982</v>
      </c>
      <c r="H17" s="165"/>
      <c r="I17" s="59">
        <f>VORN!I24</f>
        <v>0</v>
      </c>
      <c r="J17" s="30"/>
    </row>
    <row r="18" spans="1:10" ht="15.15" customHeight="1" x14ac:dyDescent="0.25">
      <c r="A18" s="51" t="s">
        <v>959</v>
      </c>
      <c r="B18" s="55" t="s">
        <v>969</v>
      </c>
      <c r="C18" s="59">
        <f>SUM('Stavební rozpočet'!AF12:AF263)</f>
        <v>0</v>
      </c>
      <c r="D18" s="164"/>
      <c r="E18" s="165"/>
      <c r="F18" s="60"/>
      <c r="G18" s="164" t="s">
        <v>983</v>
      </c>
      <c r="H18" s="165"/>
      <c r="I18" s="59">
        <f>VORN!I25</f>
        <v>0</v>
      </c>
      <c r="J18" s="30"/>
    </row>
    <row r="19" spans="1:10" ht="15.15" customHeight="1" x14ac:dyDescent="0.25">
      <c r="A19" s="52"/>
      <c r="B19" s="55" t="s">
        <v>652</v>
      </c>
      <c r="C19" s="59">
        <f>SUM('Stavební rozpočet'!AG12:AG263)</f>
        <v>0</v>
      </c>
      <c r="D19" s="164"/>
      <c r="E19" s="165"/>
      <c r="F19" s="60"/>
      <c r="G19" s="164" t="s">
        <v>984</v>
      </c>
      <c r="H19" s="165"/>
      <c r="I19" s="59">
        <f>VORN!I26</f>
        <v>0</v>
      </c>
      <c r="J19" s="30"/>
    </row>
    <row r="20" spans="1:10" ht="15.15" customHeight="1" x14ac:dyDescent="0.25">
      <c r="A20" s="166" t="s">
        <v>960</v>
      </c>
      <c r="B20" s="167"/>
      <c r="C20" s="59">
        <f>SUM('Stavební rozpočet'!AH12:AH263)</f>
        <v>0</v>
      </c>
      <c r="D20" s="164"/>
      <c r="E20" s="165"/>
      <c r="F20" s="60"/>
      <c r="G20" s="164"/>
      <c r="H20" s="165"/>
      <c r="I20" s="60"/>
      <c r="J20" s="30"/>
    </row>
    <row r="21" spans="1:10" ht="15.15" customHeight="1" x14ac:dyDescent="0.25">
      <c r="A21" s="166" t="s">
        <v>961</v>
      </c>
      <c r="B21" s="167"/>
      <c r="C21" s="59">
        <f>SUM('Stavební rozpočet'!Z12:Z263)</f>
        <v>0</v>
      </c>
      <c r="D21" s="164"/>
      <c r="E21" s="165"/>
      <c r="F21" s="60"/>
      <c r="G21" s="164"/>
      <c r="H21" s="165"/>
      <c r="I21" s="60"/>
      <c r="J21" s="30"/>
    </row>
    <row r="22" spans="1:10" ht="16.649999999999999" customHeight="1" x14ac:dyDescent="0.25">
      <c r="A22" s="166" t="s">
        <v>962</v>
      </c>
      <c r="B22" s="167"/>
      <c r="C22" s="59">
        <f>ROUND(SUM(C14:C21),1)</f>
        <v>0</v>
      </c>
      <c r="D22" s="166" t="s">
        <v>972</v>
      </c>
      <c r="E22" s="167"/>
      <c r="F22" s="59">
        <f>SUM(F14:F21)</f>
        <v>0</v>
      </c>
      <c r="G22" s="166" t="s">
        <v>985</v>
      </c>
      <c r="H22" s="167"/>
      <c r="I22" s="59">
        <f>SUM(I14:I21)</f>
        <v>0</v>
      </c>
      <c r="J22" s="30"/>
    </row>
    <row r="23" spans="1:10" ht="15.15" customHeight="1" x14ac:dyDescent="0.25">
      <c r="A23" s="6"/>
      <c r="B23" s="6"/>
      <c r="C23" s="57"/>
      <c r="D23" s="166" t="s">
        <v>973</v>
      </c>
      <c r="E23" s="167"/>
      <c r="F23" s="61">
        <v>0</v>
      </c>
      <c r="G23" s="166" t="s">
        <v>986</v>
      </c>
      <c r="H23" s="167"/>
      <c r="I23" s="59">
        <v>0</v>
      </c>
      <c r="J23" s="30"/>
    </row>
    <row r="24" spans="1:10" ht="15.15" customHeight="1" x14ac:dyDescent="0.25">
      <c r="D24" s="6"/>
      <c r="E24" s="6"/>
      <c r="F24" s="62"/>
      <c r="G24" s="166" t="s">
        <v>987</v>
      </c>
      <c r="H24" s="167"/>
      <c r="I24" s="59">
        <f>vorn_sum</f>
        <v>0</v>
      </c>
      <c r="J24" s="30"/>
    </row>
    <row r="25" spans="1:10" ht="15.15" customHeight="1" x14ac:dyDescent="0.25">
      <c r="F25" s="63"/>
      <c r="G25" s="166" t="s">
        <v>988</v>
      </c>
      <c r="H25" s="167"/>
      <c r="I25" s="59">
        <v>0</v>
      </c>
      <c r="J25" s="30"/>
    </row>
    <row r="26" spans="1:10" x14ac:dyDescent="0.25">
      <c r="A26" s="49"/>
      <c r="B26" s="49"/>
      <c r="C26" s="49"/>
      <c r="G26" s="6"/>
      <c r="H26" s="6"/>
      <c r="I26" s="6"/>
    </row>
    <row r="27" spans="1:10" ht="15.15" customHeight="1" x14ac:dyDescent="0.25">
      <c r="A27" s="168" t="s">
        <v>963</v>
      </c>
      <c r="B27" s="169"/>
      <c r="C27" s="64">
        <f>ROUND(SUM('Stavební rozpočet'!AJ12:AJ263),1)</f>
        <v>0</v>
      </c>
      <c r="D27" s="58"/>
      <c r="E27" s="49"/>
      <c r="F27" s="49"/>
      <c r="G27" s="49"/>
      <c r="H27" s="49"/>
      <c r="I27" s="49"/>
    </row>
    <row r="28" spans="1:10" ht="15.15" customHeight="1" x14ac:dyDescent="0.25">
      <c r="A28" s="168" t="s">
        <v>964</v>
      </c>
      <c r="B28" s="169"/>
      <c r="C28" s="64">
        <f>ROUND(SUM('Stavební rozpočet'!AK12:AK263),1)</f>
        <v>0</v>
      </c>
      <c r="D28" s="168" t="s">
        <v>974</v>
      </c>
      <c r="E28" s="169"/>
      <c r="F28" s="64">
        <f>ROUND(C28*(15/100),2)</f>
        <v>0</v>
      </c>
      <c r="G28" s="168" t="s">
        <v>989</v>
      </c>
      <c r="H28" s="169"/>
      <c r="I28" s="64">
        <f>ROUND(SUM(C27:C29),1)</f>
        <v>0</v>
      </c>
      <c r="J28" s="30"/>
    </row>
    <row r="29" spans="1:10" ht="15.15" customHeight="1" x14ac:dyDescent="0.25">
      <c r="A29" s="168" t="s">
        <v>965</v>
      </c>
      <c r="B29" s="169"/>
      <c r="C29" s="64">
        <f>ROUND(SUM('Stavební rozpočet'!AL12:AL263)+(F22+I22+F23+I23+I24+I25),1)</f>
        <v>0</v>
      </c>
      <c r="D29" s="168" t="s">
        <v>975</v>
      </c>
      <c r="E29" s="169"/>
      <c r="F29" s="64">
        <f>ROUND(C29*(21/100),2)</f>
        <v>0</v>
      </c>
      <c r="G29" s="168" t="s">
        <v>990</v>
      </c>
      <c r="H29" s="169"/>
      <c r="I29" s="64">
        <f>ROUND(SUM(F28:F29)+I28,1)</f>
        <v>0</v>
      </c>
      <c r="J29" s="30"/>
    </row>
    <row r="30" spans="1:10" x14ac:dyDescent="0.25">
      <c r="A30" s="53"/>
      <c r="B30" s="53"/>
      <c r="C30" s="53"/>
      <c r="D30" s="53"/>
      <c r="E30" s="53"/>
      <c r="F30" s="53"/>
      <c r="G30" s="53"/>
      <c r="H30" s="53"/>
      <c r="I30" s="53"/>
    </row>
    <row r="31" spans="1:10" ht="14.4" customHeight="1" x14ac:dyDescent="0.25">
      <c r="A31" s="170" t="s">
        <v>966</v>
      </c>
      <c r="B31" s="171"/>
      <c r="C31" s="172"/>
      <c r="D31" s="170" t="s">
        <v>976</v>
      </c>
      <c r="E31" s="171"/>
      <c r="F31" s="172"/>
      <c r="G31" s="170" t="s">
        <v>991</v>
      </c>
      <c r="H31" s="171"/>
      <c r="I31" s="172"/>
      <c r="J31" s="31"/>
    </row>
    <row r="32" spans="1:10" ht="14.4" customHeight="1" x14ac:dyDescent="0.25">
      <c r="A32" s="173"/>
      <c r="B32" s="174"/>
      <c r="C32" s="175"/>
      <c r="D32" s="173"/>
      <c r="E32" s="174"/>
      <c r="F32" s="175"/>
      <c r="G32" s="173"/>
      <c r="H32" s="174"/>
      <c r="I32" s="175"/>
      <c r="J32" s="31"/>
    </row>
    <row r="33" spans="1:10" ht="14.4" customHeight="1" x14ac:dyDescent="0.25">
      <c r="A33" s="173"/>
      <c r="B33" s="174"/>
      <c r="C33" s="175"/>
      <c r="D33" s="173"/>
      <c r="E33" s="174"/>
      <c r="F33" s="175"/>
      <c r="G33" s="173"/>
      <c r="H33" s="174"/>
      <c r="I33" s="175"/>
      <c r="J33" s="31"/>
    </row>
    <row r="34" spans="1:10" ht="14.4" customHeight="1" x14ac:dyDescent="0.25">
      <c r="A34" s="173"/>
      <c r="B34" s="174"/>
      <c r="C34" s="175"/>
      <c r="D34" s="173"/>
      <c r="E34" s="174"/>
      <c r="F34" s="175"/>
      <c r="G34" s="173"/>
      <c r="H34" s="174"/>
      <c r="I34" s="175"/>
      <c r="J34" s="31"/>
    </row>
    <row r="35" spans="1:10" ht="14.4" customHeight="1" x14ac:dyDescent="0.25">
      <c r="A35" s="176" t="s">
        <v>967</v>
      </c>
      <c r="B35" s="177"/>
      <c r="C35" s="178"/>
      <c r="D35" s="176" t="s">
        <v>967</v>
      </c>
      <c r="E35" s="177"/>
      <c r="F35" s="178"/>
      <c r="G35" s="176" t="s">
        <v>967</v>
      </c>
      <c r="H35" s="177"/>
      <c r="I35" s="178"/>
      <c r="J35" s="31"/>
    </row>
    <row r="36" spans="1:10" ht="11.25" customHeight="1" x14ac:dyDescent="0.25">
      <c r="A36" s="54" t="s">
        <v>191</v>
      </c>
      <c r="B36" s="56"/>
      <c r="C36" s="56"/>
      <c r="D36" s="56"/>
      <c r="E36" s="56"/>
      <c r="F36" s="56"/>
      <c r="G36" s="56"/>
      <c r="H36" s="56"/>
      <c r="I36" s="56"/>
    </row>
    <row r="37" spans="1:10" ht="51.45" customHeight="1" x14ac:dyDescent="0.25">
      <c r="A37" s="154" t="s">
        <v>192</v>
      </c>
      <c r="B37" s="145"/>
      <c r="C37" s="145"/>
      <c r="D37" s="145"/>
      <c r="E37" s="145"/>
      <c r="F37" s="145"/>
      <c r="G37" s="145"/>
      <c r="H37" s="145"/>
      <c r="I37" s="145"/>
    </row>
  </sheetData>
  <sheetProtection algorithmName="SHA-512" hashValue="oV1OlO3iIo3RyVGyg2uHyF+jxpkd7TqdaZr8xVXr0I5l3a3g5j0VfHhxo1S0GNPmpK+1hCSvVWHZ0U6GAVbR2g==" saltValue="L54xsSYxh0OjXcE6NAApgQ==" spinCount="100000" sheet="1" objects="1" scenarios="1"/>
  <mergeCells count="83"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  <mergeCell ref="A31:C31"/>
    <mergeCell ref="D31:F31"/>
    <mergeCell ref="G31:I31"/>
    <mergeCell ref="A32:C32"/>
    <mergeCell ref="D32:F32"/>
    <mergeCell ref="G32:I32"/>
    <mergeCell ref="A28:B28"/>
    <mergeCell ref="D28:E28"/>
    <mergeCell ref="G28:H28"/>
    <mergeCell ref="A29:B29"/>
    <mergeCell ref="D29:E29"/>
    <mergeCell ref="G29:H29"/>
    <mergeCell ref="D23:E23"/>
    <mergeCell ref="G23:H23"/>
    <mergeCell ref="G24:H24"/>
    <mergeCell ref="G25:H25"/>
    <mergeCell ref="A27:B27"/>
    <mergeCell ref="A21:B21"/>
    <mergeCell ref="D21:E21"/>
    <mergeCell ref="G21:H21"/>
    <mergeCell ref="A22:B22"/>
    <mergeCell ref="D22:E22"/>
    <mergeCell ref="G22:H22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tabSelected="1" workbookViewId="0">
      <selection activeCell="N18" sqref="N18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7.109375" customWidth="1"/>
    <col min="9" max="9" width="22.88671875" customWidth="1"/>
  </cols>
  <sheetData>
    <row r="1" spans="1:10" ht="72.900000000000006" customHeight="1" x14ac:dyDescent="0.25">
      <c r="A1" s="75"/>
      <c r="B1" s="49"/>
      <c r="C1" s="140" t="s">
        <v>1005</v>
      </c>
      <c r="D1" s="141"/>
      <c r="E1" s="141"/>
      <c r="F1" s="141"/>
      <c r="G1" s="141"/>
      <c r="H1" s="141"/>
      <c r="I1" s="141"/>
    </row>
    <row r="2" spans="1:10" x14ac:dyDescent="0.25">
      <c r="A2" s="142" t="s">
        <v>1</v>
      </c>
      <c r="B2" s="143"/>
      <c r="C2" s="146" t="str">
        <f>'Stavební rozpočet'!C2</f>
        <v>Stavební úpravy budovy, stání aut, změna užívání části budovy ÚHÚL Brandýs nad Labem</v>
      </c>
      <c r="D2" s="147"/>
      <c r="E2" s="149" t="s">
        <v>640</v>
      </c>
      <c r="F2" s="149" t="str">
        <f>'Stavební rozpočet'!I2</f>
        <v>ÚHUL Brandýs nad Labem</v>
      </c>
      <c r="G2" s="143"/>
      <c r="H2" s="149" t="s">
        <v>992</v>
      </c>
      <c r="I2" s="150"/>
      <c r="J2" s="30"/>
    </row>
    <row r="3" spans="1:10" ht="25.65" customHeight="1" x14ac:dyDescent="0.25">
      <c r="A3" s="144"/>
      <c r="B3" s="145"/>
      <c r="C3" s="148"/>
      <c r="D3" s="148"/>
      <c r="E3" s="145"/>
      <c r="F3" s="145"/>
      <c r="G3" s="145"/>
      <c r="H3" s="145"/>
      <c r="I3" s="151"/>
      <c r="J3" s="30"/>
    </row>
    <row r="4" spans="1:10" x14ac:dyDescent="0.25">
      <c r="A4" s="153" t="s">
        <v>2</v>
      </c>
      <c r="B4" s="145"/>
      <c r="C4" s="154" t="str">
        <f>'Stavební rozpočet'!C4</f>
        <v xml:space="preserve"> </v>
      </c>
      <c r="D4" s="145"/>
      <c r="E4" s="154" t="s">
        <v>641</v>
      </c>
      <c r="F4" s="154" t="str">
        <f>'Stavební rozpočet'!I4</f>
        <v>CHMELS - projekty a systémy s.r.o.</v>
      </c>
      <c r="G4" s="145"/>
      <c r="H4" s="154" t="s">
        <v>992</v>
      </c>
      <c r="I4" s="152" t="s">
        <v>996</v>
      </c>
      <c r="J4" s="30"/>
    </row>
    <row r="5" spans="1:10" x14ac:dyDescent="0.25">
      <c r="A5" s="144"/>
      <c r="B5" s="145"/>
      <c r="C5" s="145"/>
      <c r="D5" s="145"/>
      <c r="E5" s="145"/>
      <c r="F5" s="145"/>
      <c r="G5" s="145"/>
      <c r="H5" s="145"/>
      <c r="I5" s="151"/>
      <c r="J5" s="30"/>
    </row>
    <row r="6" spans="1:10" x14ac:dyDescent="0.25">
      <c r="A6" s="153" t="s">
        <v>3</v>
      </c>
      <c r="B6" s="145"/>
      <c r="C6" s="154" t="str">
        <f>'Stavební rozpočet'!C6</f>
        <v>p.č. 1586/1,1586/22 k.ú. Stará Boleslav, 250 01</v>
      </c>
      <c r="D6" s="145"/>
      <c r="E6" s="154" t="s">
        <v>642</v>
      </c>
      <c r="F6" s="154" t="str">
        <f>'Stavební rozpočet'!I6</f>
        <v> </v>
      </c>
      <c r="G6" s="145"/>
      <c r="H6" s="154" t="s">
        <v>992</v>
      </c>
      <c r="I6" s="152"/>
      <c r="J6" s="30"/>
    </row>
    <row r="7" spans="1:10" x14ac:dyDescent="0.25">
      <c r="A7" s="144"/>
      <c r="B7" s="145"/>
      <c r="C7" s="145"/>
      <c r="D7" s="145"/>
      <c r="E7" s="145"/>
      <c r="F7" s="145"/>
      <c r="G7" s="145"/>
      <c r="H7" s="145"/>
      <c r="I7" s="151"/>
      <c r="J7" s="30"/>
    </row>
    <row r="8" spans="1:10" x14ac:dyDescent="0.25">
      <c r="A8" s="153" t="s">
        <v>620</v>
      </c>
      <c r="B8" s="145"/>
      <c r="C8" s="154" t="str">
        <f>'Stavební rozpočet'!F4</f>
        <v xml:space="preserve"> </v>
      </c>
      <c r="D8" s="145"/>
      <c r="E8" s="154" t="s">
        <v>621</v>
      </c>
      <c r="F8" s="154" t="str">
        <f>'Stavební rozpočet'!F6</f>
        <v xml:space="preserve"> </v>
      </c>
      <c r="G8" s="145"/>
      <c r="H8" s="157" t="s">
        <v>993</v>
      </c>
      <c r="I8" s="152" t="s">
        <v>190</v>
      </c>
      <c r="J8" s="30"/>
    </row>
    <row r="9" spans="1:10" x14ac:dyDescent="0.25">
      <c r="A9" s="144"/>
      <c r="B9" s="145"/>
      <c r="C9" s="145"/>
      <c r="D9" s="145"/>
      <c r="E9" s="145"/>
      <c r="F9" s="145"/>
      <c r="G9" s="145"/>
      <c r="H9" s="145"/>
      <c r="I9" s="151"/>
      <c r="J9" s="30"/>
    </row>
    <row r="10" spans="1:10" x14ac:dyDescent="0.25">
      <c r="A10" s="153" t="s">
        <v>4</v>
      </c>
      <c r="B10" s="145"/>
      <c r="C10" s="154">
        <f>'Stavební rozpočet'!C8</f>
        <v>8126913</v>
      </c>
      <c r="D10" s="145"/>
      <c r="E10" s="154" t="s">
        <v>643</v>
      </c>
      <c r="F10" s="154" t="str">
        <f>'Stavební rozpočet'!I8</f>
        <v> </v>
      </c>
      <c r="G10" s="145"/>
      <c r="H10" s="157" t="s">
        <v>994</v>
      </c>
      <c r="I10" s="158" t="str">
        <f>'Stavební rozpočet'!F8</f>
        <v>08.08.2019</v>
      </c>
      <c r="J10" s="30"/>
    </row>
    <row r="11" spans="1:10" x14ac:dyDescent="0.25">
      <c r="A11" s="155"/>
      <c r="B11" s="156"/>
      <c r="C11" s="156"/>
      <c r="D11" s="156"/>
      <c r="E11" s="156"/>
      <c r="F11" s="156"/>
      <c r="G11" s="156"/>
      <c r="H11" s="156"/>
      <c r="I11" s="159"/>
      <c r="J11" s="30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0" ht="15.15" customHeight="1" x14ac:dyDescent="0.25">
      <c r="A13" s="179" t="s">
        <v>997</v>
      </c>
      <c r="B13" s="180"/>
      <c r="C13" s="180"/>
      <c r="D13" s="180"/>
      <c r="E13" s="180"/>
      <c r="F13" s="66"/>
      <c r="G13" s="66"/>
      <c r="H13" s="66"/>
      <c r="I13" s="66"/>
    </row>
    <row r="14" spans="1:10" x14ac:dyDescent="0.25">
      <c r="A14" s="181" t="s">
        <v>998</v>
      </c>
      <c r="B14" s="182"/>
      <c r="C14" s="182"/>
      <c r="D14" s="182"/>
      <c r="E14" s="183"/>
      <c r="F14" s="67" t="s">
        <v>1006</v>
      </c>
      <c r="G14" s="67" t="s">
        <v>654</v>
      </c>
      <c r="H14" s="67" t="s">
        <v>1007</v>
      </c>
      <c r="I14" s="67" t="s">
        <v>1006</v>
      </c>
      <c r="J14" s="31"/>
    </row>
    <row r="15" spans="1:10" x14ac:dyDescent="0.25">
      <c r="A15" s="184"/>
      <c r="B15" s="185"/>
      <c r="C15" s="185"/>
      <c r="D15" s="185"/>
      <c r="E15" s="186"/>
      <c r="F15" s="273">
        <v>0</v>
      </c>
      <c r="G15" s="71"/>
      <c r="H15" s="71"/>
      <c r="I15" s="68">
        <f>F15</f>
        <v>0</v>
      </c>
      <c r="J15" s="30"/>
    </row>
    <row r="16" spans="1:10" x14ac:dyDescent="0.25">
      <c r="A16" s="184"/>
      <c r="B16" s="185"/>
      <c r="C16" s="185"/>
      <c r="D16" s="185"/>
      <c r="E16" s="186"/>
      <c r="F16" s="273">
        <v>0</v>
      </c>
      <c r="G16" s="71"/>
      <c r="H16" s="71"/>
      <c r="I16" s="68">
        <f>F16</f>
        <v>0</v>
      </c>
      <c r="J16" s="30"/>
    </row>
    <row r="17" spans="1:10" x14ac:dyDescent="0.25">
      <c r="A17" s="187"/>
      <c r="B17" s="188"/>
      <c r="C17" s="188"/>
      <c r="D17" s="188"/>
      <c r="E17" s="189"/>
      <c r="F17" s="289">
        <v>0</v>
      </c>
      <c r="G17" s="72"/>
      <c r="H17" s="72"/>
      <c r="I17" s="69">
        <f>F17</f>
        <v>0</v>
      </c>
      <c r="J17" s="30"/>
    </row>
    <row r="18" spans="1:10" x14ac:dyDescent="0.25">
      <c r="A18" s="190" t="s">
        <v>999</v>
      </c>
      <c r="B18" s="191"/>
      <c r="C18" s="191"/>
      <c r="D18" s="191"/>
      <c r="E18" s="192"/>
      <c r="F18" s="70"/>
      <c r="G18" s="73"/>
      <c r="H18" s="73"/>
      <c r="I18" s="74">
        <f>SUM(I15:I17)</f>
        <v>0</v>
      </c>
      <c r="J18" s="31"/>
    </row>
    <row r="19" spans="1:10" x14ac:dyDescent="0.25">
      <c r="A19" s="65"/>
      <c r="B19" s="65"/>
      <c r="C19" s="65"/>
      <c r="D19" s="65"/>
      <c r="E19" s="65"/>
      <c r="F19" s="65"/>
      <c r="G19" s="65"/>
      <c r="H19" s="65"/>
      <c r="I19" s="65"/>
    </row>
    <row r="20" spans="1:10" x14ac:dyDescent="0.25">
      <c r="A20" s="288" t="s">
        <v>995</v>
      </c>
      <c r="B20" s="182"/>
      <c r="C20" s="182"/>
      <c r="D20" s="182"/>
      <c r="E20" s="183"/>
      <c r="F20" s="67" t="s">
        <v>1006</v>
      </c>
      <c r="G20" s="67" t="s">
        <v>654</v>
      </c>
      <c r="H20" s="67" t="s">
        <v>1007</v>
      </c>
      <c r="I20" s="67" t="s">
        <v>1006</v>
      </c>
      <c r="J20" s="31"/>
    </row>
    <row r="21" spans="1:10" x14ac:dyDescent="0.25">
      <c r="A21" s="184" t="s">
        <v>979</v>
      </c>
      <c r="B21" s="185"/>
      <c r="C21" s="185"/>
      <c r="D21" s="185"/>
      <c r="E21" s="186"/>
      <c r="F21" s="71"/>
      <c r="G21" s="273">
        <v>2.5</v>
      </c>
      <c r="H21" s="68">
        <f>'Krycí list rozpočtu'!C22</f>
        <v>0</v>
      </c>
      <c r="I21" s="68">
        <f>(G21/100)*H21</f>
        <v>0</v>
      </c>
      <c r="J21" s="30"/>
    </row>
    <row r="22" spans="1:10" x14ac:dyDescent="0.25">
      <c r="A22" s="184" t="s">
        <v>980</v>
      </c>
      <c r="B22" s="185"/>
      <c r="C22" s="185"/>
      <c r="D22" s="185"/>
      <c r="E22" s="186"/>
      <c r="F22" s="273">
        <v>0</v>
      </c>
      <c r="G22" s="71"/>
      <c r="H22" s="71"/>
      <c r="I22" s="68">
        <f>F22</f>
        <v>0</v>
      </c>
      <c r="J22" s="30"/>
    </row>
    <row r="23" spans="1:10" x14ac:dyDescent="0.25">
      <c r="A23" s="184" t="s">
        <v>981</v>
      </c>
      <c r="B23" s="185"/>
      <c r="C23" s="185"/>
      <c r="D23" s="185"/>
      <c r="E23" s="186"/>
      <c r="F23" s="273">
        <v>0</v>
      </c>
      <c r="G23" s="71"/>
      <c r="H23" s="71"/>
      <c r="I23" s="68">
        <f>F23</f>
        <v>0</v>
      </c>
      <c r="J23" s="30"/>
    </row>
    <row r="24" spans="1:10" x14ac:dyDescent="0.25">
      <c r="A24" s="184" t="s">
        <v>982</v>
      </c>
      <c r="B24" s="185"/>
      <c r="C24" s="185"/>
      <c r="D24" s="185"/>
      <c r="E24" s="186"/>
      <c r="F24" s="273">
        <v>0</v>
      </c>
      <c r="G24" s="71"/>
      <c r="H24" s="71"/>
      <c r="I24" s="68">
        <f>F24</f>
        <v>0</v>
      </c>
      <c r="J24" s="30"/>
    </row>
    <row r="25" spans="1:10" x14ac:dyDescent="0.25">
      <c r="A25" s="184" t="s">
        <v>983</v>
      </c>
      <c r="B25" s="185"/>
      <c r="C25" s="185"/>
      <c r="D25" s="185"/>
      <c r="E25" s="186"/>
      <c r="F25" s="273">
        <v>0</v>
      </c>
      <c r="G25" s="71"/>
      <c r="H25" s="71"/>
      <c r="I25" s="68">
        <f>F25</f>
        <v>0</v>
      </c>
      <c r="J25" s="30"/>
    </row>
    <row r="26" spans="1:10" x14ac:dyDescent="0.25">
      <c r="A26" s="187" t="s">
        <v>984</v>
      </c>
      <c r="B26" s="188"/>
      <c r="C26" s="188"/>
      <c r="D26" s="188"/>
      <c r="E26" s="189"/>
      <c r="F26" s="289">
        <v>0</v>
      </c>
      <c r="G26" s="72"/>
      <c r="H26" s="72"/>
      <c r="I26" s="69">
        <f>F26</f>
        <v>0</v>
      </c>
      <c r="J26" s="30"/>
    </row>
    <row r="27" spans="1:10" x14ac:dyDescent="0.25">
      <c r="A27" s="190" t="s">
        <v>1000</v>
      </c>
      <c r="B27" s="191"/>
      <c r="C27" s="191"/>
      <c r="D27" s="191"/>
      <c r="E27" s="192"/>
      <c r="F27" s="70"/>
      <c r="G27" s="73"/>
      <c r="H27" s="73"/>
      <c r="I27" s="74">
        <f>SUM(I21:I26)</f>
        <v>0</v>
      </c>
      <c r="J27" s="31"/>
    </row>
    <row r="28" spans="1:10" x14ac:dyDescent="0.25">
      <c r="A28" s="65"/>
      <c r="B28" s="65"/>
      <c r="C28" s="65"/>
      <c r="D28" s="65"/>
      <c r="E28" s="65"/>
      <c r="F28" s="65"/>
      <c r="G28" s="65"/>
      <c r="H28" s="65"/>
      <c r="I28" s="65"/>
    </row>
    <row r="29" spans="1:10" ht="15.15" customHeight="1" x14ac:dyDescent="0.25">
      <c r="A29" s="193" t="s">
        <v>1001</v>
      </c>
      <c r="B29" s="194"/>
      <c r="C29" s="194"/>
      <c r="D29" s="194"/>
      <c r="E29" s="195"/>
      <c r="F29" s="196">
        <f>I18+I27</f>
        <v>0</v>
      </c>
      <c r="G29" s="197"/>
      <c r="H29" s="197"/>
      <c r="I29" s="198"/>
      <c r="J29" s="31"/>
    </row>
    <row r="30" spans="1:10" x14ac:dyDescent="0.25">
      <c r="A30" s="56"/>
      <c r="B30" s="56"/>
      <c r="C30" s="56"/>
      <c r="D30" s="56"/>
      <c r="E30" s="56"/>
      <c r="F30" s="56"/>
      <c r="G30" s="56"/>
      <c r="H30" s="56"/>
      <c r="I30" s="56"/>
    </row>
    <row r="31" spans="1:10" x14ac:dyDescent="0.25">
      <c r="A31" s="274"/>
      <c r="B31" s="274"/>
      <c r="C31" s="274"/>
      <c r="D31" s="274"/>
      <c r="E31" s="274"/>
      <c r="F31" s="274"/>
      <c r="G31" s="274"/>
      <c r="H31" s="274"/>
      <c r="I31" s="274"/>
    </row>
    <row r="32" spans="1:10" x14ac:dyDescent="0.25">
      <c r="A32" s="274"/>
      <c r="B32" s="274"/>
      <c r="C32" s="274"/>
      <c r="D32" s="274"/>
      <c r="E32" s="274"/>
      <c r="F32" s="274"/>
      <c r="G32" s="274"/>
      <c r="H32" s="274"/>
      <c r="I32" s="274"/>
    </row>
    <row r="33" spans="1:10" ht="15.15" customHeight="1" x14ac:dyDescent="0.25">
      <c r="A33" s="179" t="s">
        <v>1002</v>
      </c>
      <c r="B33" s="180"/>
      <c r="C33" s="180"/>
      <c r="D33" s="180"/>
      <c r="E33" s="180"/>
      <c r="F33" s="66"/>
      <c r="G33" s="66"/>
      <c r="H33" s="66"/>
      <c r="I33" s="66"/>
    </row>
    <row r="34" spans="1:10" x14ac:dyDescent="0.25">
      <c r="A34" s="181" t="s">
        <v>1003</v>
      </c>
      <c r="B34" s="182"/>
      <c r="C34" s="182"/>
      <c r="D34" s="182"/>
      <c r="E34" s="183"/>
      <c r="F34" s="67" t="s">
        <v>1006</v>
      </c>
      <c r="G34" s="67" t="s">
        <v>654</v>
      </c>
      <c r="H34" s="67" t="s">
        <v>1007</v>
      </c>
      <c r="I34" s="67" t="s">
        <v>1006</v>
      </c>
      <c r="J34" s="31"/>
    </row>
    <row r="35" spans="1:10" x14ac:dyDescent="0.25">
      <c r="A35" s="187"/>
      <c r="B35" s="188"/>
      <c r="C35" s="188"/>
      <c r="D35" s="188"/>
      <c r="E35" s="189"/>
      <c r="F35" s="69">
        <v>0</v>
      </c>
      <c r="G35" s="72"/>
      <c r="H35" s="72"/>
      <c r="I35" s="69">
        <f>F35</f>
        <v>0</v>
      </c>
      <c r="J35" s="30"/>
    </row>
    <row r="36" spans="1:10" x14ac:dyDescent="0.25">
      <c r="A36" s="190" t="s">
        <v>1004</v>
      </c>
      <c r="B36" s="191"/>
      <c r="C36" s="191"/>
      <c r="D36" s="191"/>
      <c r="E36" s="192"/>
      <c r="F36" s="70"/>
      <c r="G36" s="73"/>
      <c r="H36" s="73"/>
      <c r="I36" s="74">
        <f>SUM(I35:I35)</f>
        <v>0</v>
      </c>
      <c r="J36" s="31"/>
    </row>
    <row r="37" spans="1:10" x14ac:dyDescent="0.25">
      <c r="A37" s="56"/>
      <c r="B37" s="56"/>
      <c r="C37" s="56"/>
      <c r="D37" s="56"/>
      <c r="E37" s="56"/>
      <c r="F37" s="56"/>
      <c r="G37" s="56"/>
      <c r="H37" s="56"/>
      <c r="I37" s="56"/>
    </row>
  </sheetData>
  <sheetProtection algorithmName="SHA-512" hashValue="rH7z+2dwYGbM03nzdOU8zLI7tixunxHfhgb8H5Z0nsHX4/YWzVYF0dWR3cQqJJPuE/JVMM3JMWG9HteJD0QJww==" saltValue="rrYC9nsX7lc3197NSR4LZA==" spinCount="100000" sheet="1" objects="1" scenarios="1"/>
  <protectedRanges>
    <protectedRange sqref="G21" name="Oblast1"/>
  </protectedRanges>
  <mergeCells count="51">
    <mergeCell ref="F29:I29"/>
    <mergeCell ref="A33:E33"/>
    <mergeCell ref="A34:E34"/>
    <mergeCell ref="A24:E24"/>
    <mergeCell ref="A25:E25"/>
    <mergeCell ref="A35:E35"/>
    <mergeCell ref="A36:E36"/>
    <mergeCell ref="A26:E26"/>
    <mergeCell ref="A27:E27"/>
    <mergeCell ref="A29:E29"/>
    <mergeCell ref="A18:E18"/>
    <mergeCell ref="A20:E20"/>
    <mergeCell ref="A21:E21"/>
    <mergeCell ref="A22:E22"/>
    <mergeCell ref="A23:E23"/>
    <mergeCell ref="A13:E13"/>
    <mergeCell ref="A14:E14"/>
    <mergeCell ref="A15:E15"/>
    <mergeCell ref="A16:E16"/>
    <mergeCell ref="A17:E17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3"/>
  <sheetViews>
    <sheetView workbookViewId="0">
      <pane ySplit="10" topLeftCell="A26" activePane="bottomLeft" state="frozenSplit"/>
      <selection pane="bottomLeft" activeCell="C44" sqref="C44:D44"/>
    </sheetView>
  </sheetViews>
  <sheetFormatPr defaultColWidth="11.5546875" defaultRowHeight="13.2" x14ac:dyDescent="0.25"/>
  <cols>
    <col min="1" max="2" width="16.5546875" customWidth="1"/>
    <col min="3" max="3" width="41.6640625" customWidth="1"/>
    <col min="5" max="5" width="22.109375" customWidth="1"/>
    <col min="6" max="6" width="21" customWidth="1"/>
    <col min="7" max="7" width="20.88671875" customWidth="1"/>
    <col min="8" max="9" width="0" hidden="1" customWidth="1"/>
  </cols>
  <sheetData>
    <row r="1" spans="1:9" ht="72.900000000000006" customHeight="1" x14ac:dyDescent="0.4">
      <c r="A1" s="199" t="s">
        <v>725</v>
      </c>
      <c r="B1" s="141"/>
      <c r="C1" s="141"/>
      <c r="D1" s="141"/>
      <c r="E1" s="141"/>
      <c r="F1" s="141"/>
      <c r="G1" s="141"/>
    </row>
    <row r="2" spans="1:9" x14ac:dyDescent="0.25">
      <c r="A2" s="142" t="s">
        <v>1</v>
      </c>
      <c r="B2" s="146" t="str">
        <f>'Stavební rozpočet'!C2</f>
        <v>Stavební úpravy budovy, stání aut, změna užívání části budovy ÚHÚL Brandýs nad Labem</v>
      </c>
      <c r="C2" s="147"/>
      <c r="D2" s="149" t="s">
        <v>640</v>
      </c>
      <c r="E2" s="149" t="str">
        <f>'Stavební rozpočet'!I2</f>
        <v>ÚHUL Brandýs nad Labem</v>
      </c>
      <c r="F2" s="143"/>
      <c r="G2" s="200"/>
      <c r="H2" s="30"/>
    </row>
    <row r="3" spans="1:9" x14ac:dyDescent="0.25">
      <c r="A3" s="144"/>
      <c r="B3" s="148"/>
      <c r="C3" s="148"/>
      <c r="D3" s="145"/>
      <c r="E3" s="145"/>
      <c r="F3" s="145"/>
      <c r="G3" s="151"/>
      <c r="H3" s="30"/>
    </row>
    <row r="4" spans="1:9" x14ac:dyDescent="0.25">
      <c r="A4" s="153" t="s">
        <v>2</v>
      </c>
      <c r="B4" s="154" t="str">
        <f>'Stavební rozpočet'!C4</f>
        <v xml:space="preserve"> </v>
      </c>
      <c r="C4" s="145"/>
      <c r="D4" s="154" t="s">
        <v>641</v>
      </c>
      <c r="E4" s="154" t="str">
        <f>'Stavební rozpočet'!I4</f>
        <v>CHMELS - projekty a systémy s.r.o.</v>
      </c>
      <c r="F4" s="145"/>
      <c r="G4" s="151"/>
      <c r="H4" s="30"/>
    </row>
    <row r="5" spans="1:9" x14ac:dyDescent="0.25">
      <c r="A5" s="144"/>
      <c r="B5" s="145"/>
      <c r="C5" s="145"/>
      <c r="D5" s="145"/>
      <c r="E5" s="145"/>
      <c r="F5" s="145"/>
      <c r="G5" s="151"/>
      <c r="H5" s="30"/>
    </row>
    <row r="6" spans="1:9" x14ac:dyDescent="0.25">
      <c r="A6" s="153" t="s">
        <v>3</v>
      </c>
      <c r="B6" s="154" t="str">
        <f>'Stavební rozpočet'!C6</f>
        <v>p.č. 1586/1,1586/22 k.ú. Stará Boleslav, 250 01</v>
      </c>
      <c r="C6" s="145"/>
      <c r="D6" s="154" t="s">
        <v>642</v>
      </c>
      <c r="E6" s="154" t="str">
        <f>'Stavební rozpočet'!I6</f>
        <v> </v>
      </c>
      <c r="F6" s="145"/>
      <c r="G6" s="151"/>
      <c r="H6" s="30"/>
    </row>
    <row r="7" spans="1:9" x14ac:dyDescent="0.25">
      <c r="A7" s="144"/>
      <c r="B7" s="145"/>
      <c r="C7" s="145"/>
      <c r="D7" s="145"/>
      <c r="E7" s="145"/>
      <c r="F7" s="145"/>
      <c r="G7" s="151"/>
      <c r="H7" s="30"/>
    </row>
    <row r="8" spans="1:9" x14ac:dyDescent="0.25">
      <c r="A8" s="153" t="s">
        <v>643</v>
      </c>
      <c r="B8" s="154" t="str">
        <f>'Stavební rozpočet'!I8</f>
        <v> </v>
      </c>
      <c r="C8" s="145"/>
      <c r="D8" s="157" t="s">
        <v>622</v>
      </c>
      <c r="E8" s="154" t="str">
        <f>'Stavební rozpočet'!F8</f>
        <v>08.08.2019</v>
      </c>
      <c r="F8" s="145"/>
      <c r="G8" s="151"/>
      <c r="H8" s="30"/>
    </row>
    <row r="9" spans="1:9" x14ac:dyDescent="0.25">
      <c r="A9" s="201"/>
      <c r="B9" s="202"/>
      <c r="C9" s="202"/>
      <c r="D9" s="202"/>
      <c r="E9" s="202"/>
      <c r="F9" s="202"/>
      <c r="G9" s="203"/>
      <c r="H9" s="30"/>
    </row>
    <row r="10" spans="1:9" x14ac:dyDescent="0.25">
      <c r="A10" s="40" t="s">
        <v>726</v>
      </c>
      <c r="B10" s="42" t="s">
        <v>193</v>
      </c>
      <c r="C10" s="204" t="s">
        <v>727</v>
      </c>
      <c r="D10" s="205"/>
      <c r="E10" s="43" t="s">
        <v>728</v>
      </c>
      <c r="F10" s="43" t="s">
        <v>729</v>
      </c>
      <c r="G10" s="43" t="s">
        <v>730</v>
      </c>
      <c r="H10" s="30"/>
    </row>
    <row r="11" spans="1:9" x14ac:dyDescent="0.25">
      <c r="A11" s="41"/>
      <c r="B11" s="41" t="s">
        <v>17</v>
      </c>
      <c r="C11" s="206" t="s">
        <v>404</v>
      </c>
      <c r="D11" s="207"/>
      <c r="E11" s="45">
        <f>'Stavební rozpočet'!I12</f>
        <v>0</v>
      </c>
      <c r="F11" s="45">
        <f>'Stavební rozpočet'!J12</f>
        <v>0</v>
      </c>
      <c r="G11" s="45">
        <f>'Stavební rozpočet'!K12</f>
        <v>0</v>
      </c>
      <c r="H11" s="32" t="s">
        <v>731</v>
      </c>
      <c r="I11" s="32">
        <f t="shared" ref="I11:I51" si="0">IF(H11="F",0,G11)</f>
        <v>0</v>
      </c>
    </row>
    <row r="12" spans="1:9" x14ac:dyDescent="0.25">
      <c r="A12" s="10"/>
      <c r="B12" s="10" t="s">
        <v>19</v>
      </c>
      <c r="C12" s="157" t="s">
        <v>408</v>
      </c>
      <c r="D12" s="145"/>
      <c r="E12" s="32">
        <f>'Stavební rozpočet'!I16</f>
        <v>0</v>
      </c>
      <c r="F12" s="32">
        <f>'Stavební rozpočet'!J16</f>
        <v>0</v>
      </c>
      <c r="G12" s="32">
        <f>'Stavební rozpočet'!K16</f>
        <v>0</v>
      </c>
      <c r="H12" s="32" t="s">
        <v>731</v>
      </c>
      <c r="I12" s="32">
        <f t="shared" si="0"/>
        <v>0</v>
      </c>
    </row>
    <row r="13" spans="1:9" x14ac:dyDescent="0.25">
      <c r="A13" s="10"/>
      <c r="B13" s="10" t="s">
        <v>22</v>
      </c>
      <c r="C13" s="157" t="s">
        <v>409</v>
      </c>
      <c r="D13" s="145"/>
      <c r="E13" s="32">
        <f>'Stavební rozpočet'!I19</f>
        <v>0</v>
      </c>
      <c r="F13" s="32">
        <f>'Stavební rozpočet'!J19</f>
        <v>0</v>
      </c>
      <c r="G13" s="32">
        <f>'Stavební rozpočet'!K19</f>
        <v>0</v>
      </c>
      <c r="H13" s="32" t="s">
        <v>731</v>
      </c>
      <c r="I13" s="32">
        <f t="shared" si="0"/>
        <v>0</v>
      </c>
    </row>
    <row r="14" spans="1:9" x14ac:dyDescent="0.25">
      <c r="A14" s="10"/>
      <c r="B14" s="10" t="s">
        <v>23</v>
      </c>
      <c r="C14" s="157" t="s">
        <v>413</v>
      </c>
      <c r="D14" s="145"/>
      <c r="E14" s="32">
        <f>'Stavební rozpočet'!I23</f>
        <v>0</v>
      </c>
      <c r="F14" s="32">
        <f>'Stavební rozpočet'!J23</f>
        <v>0</v>
      </c>
      <c r="G14" s="32">
        <f>'Stavební rozpočet'!K23</f>
        <v>0</v>
      </c>
      <c r="H14" s="32" t="s">
        <v>731</v>
      </c>
      <c r="I14" s="32">
        <f t="shared" si="0"/>
        <v>0</v>
      </c>
    </row>
    <row r="15" spans="1:9" x14ac:dyDescent="0.25">
      <c r="A15" s="10"/>
      <c r="B15" s="10" t="s">
        <v>33</v>
      </c>
      <c r="C15" s="157" t="s">
        <v>417</v>
      </c>
      <c r="D15" s="145"/>
      <c r="E15" s="32">
        <f>'Stavební rozpočet'!I28</f>
        <v>0</v>
      </c>
      <c r="F15" s="32">
        <f>'Stavební rozpočet'!J28</f>
        <v>0</v>
      </c>
      <c r="G15" s="32">
        <f>'Stavební rozpočet'!K28</f>
        <v>0</v>
      </c>
      <c r="H15" s="32" t="s">
        <v>731</v>
      </c>
      <c r="I15" s="32">
        <f t="shared" si="0"/>
        <v>0</v>
      </c>
    </row>
    <row r="16" spans="1:9" x14ac:dyDescent="0.25">
      <c r="A16" s="10"/>
      <c r="B16" s="10" t="s">
        <v>35</v>
      </c>
      <c r="C16" s="157" t="s">
        <v>422</v>
      </c>
      <c r="D16" s="145"/>
      <c r="E16" s="32">
        <f>'Stavební rozpočet'!I33</f>
        <v>0</v>
      </c>
      <c r="F16" s="32">
        <f>'Stavební rozpočet'!J33</f>
        <v>0</v>
      </c>
      <c r="G16" s="32">
        <f>'Stavební rozpočet'!K33</f>
        <v>0</v>
      </c>
      <c r="H16" s="32" t="s">
        <v>731</v>
      </c>
      <c r="I16" s="32">
        <f t="shared" si="0"/>
        <v>0</v>
      </c>
    </row>
    <row r="17" spans="1:9" x14ac:dyDescent="0.25">
      <c r="A17" s="10"/>
      <c r="B17" s="10" t="s">
        <v>45</v>
      </c>
      <c r="C17" s="157" t="s">
        <v>429</v>
      </c>
      <c r="D17" s="145"/>
      <c r="E17" s="32">
        <f>'Stavební rozpočet'!I43</f>
        <v>0</v>
      </c>
      <c r="F17" s="32">
        <f>'Stavební rozpočet'!J43</f>
        <v>0</v>
      </c>
      <c r="G17" s="32">
        <f>'Stavební rozpočet'!K43</f>
        <v>0</v>
      </c>
      <c r="H17" s="32" t="s">
        <v>731</v>
      </c>
      <c r="I17" s="32">
        <f t="shared" si="0"/>
        <v>0</v>
      </c>
    </row>
    <row r="18" spans="1:9" x14ac:dyDescent="0.25">
      <c r="A18" s="10"/>
      <c r="B18" s="10" t="s">
        <v>60</v>
      </c>
      <c r="C18" s="157" t="s">
        <v>432</v>
      </c>
      <c r="D18" s="145"/>
      <c r="E18" s="32">
        <f>'Stavební rozpočet'!I46</f>
        <v>0</v>
      </c>
      <c r="F18" s="32">
        <f>'Stavební rozpočet'!J46</f>
        <v>0</v>
      </c>
      <c r="G18" s="32">
        <f>'Stavební rozpočet'!K46</f>
        <v>0</v>
      </c>
      <c r="H18" s="32" t="s">
        <v>731</v>
      </c>
      <c r="I18" s="32">
        <f t="shared" si="0"/>
        <v>0</v>
      </c>
    </row>
    <row r="19" spans="1:9" x14ac:dyDescent="0.25">
      <c r="A19" s="10"/>
      <c r="B19" s="10" t="s">
        <v>61</v>
      </c>
      <c r="C19" s="157" t="s">
        <v>439</v>
      </c>
      <c r="D19" s="145"/>
      <c r="E19" s="32">
        <f>'Stavební rozpočet'!I53</f>
        <v>0</v>
      </c>
      <c r="F19" s="32">
        <f>'Stavební rozpočet'!J53</f>
        <v>0</v>
      </c>
      <c r="G19" s="32">
        <f>'Stavební rozpočet'!K53</f>
        <v>0</v>
      </c>
      <c r="H19" s="32" t="s">
        <v>731</v>
      </c>
      <c r="I19" s="32">
        <f t="shared" si="0"/>
        <v>0</v>
      </c>
    </row>
    <row r="20" spans="1:9" x14ac:dyDescent="0.25">
      <c r="A20" s="10"/>
      <c r="B20" s="10" t="s">
        <v>63</v>
      </c>
      <c r="C20" s="157" t="s">
        <v>443</v>
      </c>
      <c r="D20" s="145"/>
      <c r="E20" s="32">
        <f>'Stavební rozpočet'!I57</f>
        <v>0</v>
      </c>
      <c r="F20" s="32">
        <f>'Stavební rozpočet'!J57</f>
        <v>0</v>
      </c>
      <c r="G20" s="32">
        <f>'Stavební rozpočet'!K57</f>
        <v>0</v>
      </c>
      <c r="H20" s="32" t="s">
        <v>731</v>
      </c>
      <c r="I20" s="32">
        <f t="shared" si="0"/>
        <v>0</v>
      </c>
    </row>
    <row r="21" spans="1:9" x14ac:dyDescent="0.25">
      <c r="A21" s="10"/>
      <c r="B21" s="10" t="s">
        <v>65</v>
      </c>
      <c r="C21" s="157" t="s">
        <v>444</v>
      </c>
      <c r="D21" s="145"/>
      <c r="E21" s="32">
        <f>'Stavební rozpočet'!I60</f>
        <v>0</v>
      </c>
      <c r="F21" s="32">
        <f>'Stavební rozpočet'!J60</f>
        <v>0</v>
      </c>
      <c r="G21" s="32">
        <f>'Stavební rozpočet'!K60</f>
        <v>0</v>
      </c>
      <c r="H21" s="32" t="s">
        <v>731</v>
      </c>
      <c r="I21" s="32">
        <f t="shared" si="0"/>
        <v>0</v>
      </c>
    </row>
    <row r="22" spans="1:9" x14ac:dyDescent="0.25">
      <c r="A22" s="10"/>
      <c r="B22" s="10" t="s">
        <v>66</v>
      </c>
      <c r="C22" s="157" t="s">
        <v>450</v>
      </c>
      <c r="D22" s="145"/>
      <c r="E22" s="32">
        <f>'Stavební rozpočet'!I66</f>
        <v>0</v>
      </c>
      <c r="F22" s="32">
        <f>'Stavební rozpočet'!J66</f>
        <v>0</v>
      </c>
      <c r="G22" s="32">
        <f>'Stavební rozpočet'!K66</f>
        <v>0</v>
      </c>
      <c r="H22" s="32" t="s">
        <v>731</v>
      </c>
      <c r="I22" s="32">
        <f t="shared" si="0"/>
        <v>0</v>
      </c>
    </row>
    <row r="23" spans="1:9" x14ac:dyDescent="0.25">
      <c r="A23" s="10"/>
      <c r="B23" s="10" t="s">
        <v>67</v>
      </c>
      <c r="C23" s="157" t="s">
        <v>454</v>
      </c>
      <c r="D23" s="145"/>
      <c r="E23" s="32">
        <f>'Stavební rozpočet'!I72</f>
        <v>0</v>
      </c>
      <c r="F23" s="32">
        <f>'Stavební rozpočet'!J72</f>
        <v>0</v>
      </c>
      <c r="G23" s="32">
        <f>'Stavební rozpočet'!K72</f>
        <v>0</v>
      </c>
      <c r="H23" s="32" t="s">
        <v>731</v>
      </c>
      <c r="I23" s="32">
        <f t="shared" si="0"/>
        <v>0</v>
      </c>
    </row>
    <row r="24" spans="1:9" x14ac:dyDescent="0.25">
      <c r="A24" s="10"/>
      <c r="B24" s="10" t="s">
        <v>68</v>
      </c>
      <c r="C24" s="157" t="s">
        <v>459</v>
      </c>
      <c r="D24" s="145"/>
      <c r="E24" s="32">
        <f>'Stavební rozpočet'!I78</f>
        <v>0</v>
      </c>
      <c r="F24" s="32">
        <f>'Stavební rozpočet'!J78</f>
        <v>0</v>
      </c>
      <c r="G24" s="32">
        <f>'Stavební rozpočet'!K78</f>
        <v>0</v>
      </c>
      <c r="H24" s="32" t="s">
        <v>731</v>
      </c>
      <c r="I24" s="32">
        <f t="shared" si="0"/>
        <v>0</v>
      </c>
    </row>
    <row r="25" spans="1:9" x14ac:dyDescent="0.25">
      <c r="A25" s="10"/>
      <c r="B25" s="10" t="s">
        <v>236</v>
      </c>
      <c r="C25" s="157" t="s">
        <v>462</v>
      </c>
      <c r="D25" s="145"/>
      <c r="E25" s="32">
        <f>'Stavební rozpočet'!I81</f>
        <v>0</v>
      </c>
      <c r="F25" s="32">
        <f>'Stavební rozpočet'!J81</f>
        <v>0</v>
      </c>
      <c r="G25" s="32">
        <f>'Stavební rozpočet'!K81</f>
        <v>0</v>
      </c>
      <c r="H25" s="32" t="s">
        <v>731</v>
      </c>
      <c r="I25" s="32">
        <f t="shared" si="0"/>
        <v>0</v>
      </c>
    </row>
    <row r="26" spans="1:9" x14ac:dyDescent="0.25">
      <c r="A26" s="10"/>
      <c r="B26" s="10" t="s">
        <v>240</v>
      </c>
      <c r="C26" s="157" t="s">
        <v>468</v>
      </c>
      <c r="D26" s="145"/>
      <c r="E26" s="32">
        <f>'Stavební rozpočet'!I87</f>
        <v>0</v>
      </c>
      <c r="F26" s="32">
        <f>'Stavební rozpočet'!J87</f>
        <v>0</v>
      </c>
      <c r="G26" s="32">
        <f>'Stavební rozpočet'!K87</f>
        <v>0</v>
      </c>
      <c r="H26" s="32" t="s">
        <v>731</v>
      </c>
      <c r="I26" s="32">
        <f t="shared" si="0"/>
        <v>0</v>
      </c>
    </row>
    <row r="27" spans="1:9" x14ac:dyDescent="0.25">
      <c r="A27" s="10"/>
      <c r="B27" s="10" t="s">
        <v>243</v>
      </c>
      <c r="C27" s="157" t="s">
        <v>472</v>
      </c>
      <c r="D27" s="145"/>
      <c r="E27" s="32">
        <f>'Stavební rozpočet'!I91</f>
        <v>0</v>
      </c>
      <c r="F27" s="32">
        <f>'Stavební rozpočet'!J91</f>
        <v>0</v>
      </c>
      <c r="G27" s="32">
        <f>'Stavební rozpočet'!K91</f>
        <v>0</v>
      </c>
      <c r="H27" s="32" t="s">
        <v>731</v>
      </c>
      <c r="I27" s="32">
        <f t="shared" si="0"/>
        <v>0</v>
      </c>
    </row>
    <row r="28" spans="1:9" x14ac:dyDescent="0.25">
      <c r="A28" s="10"/>
      <c r="B28" s="10" t="s">
        <v>249</v>
      </c>
      <c r="C28" s="157" t="s">
        <v>478</v>
      </c>
      <c r="D28" s="145"/>
      <c r="E28" s="32">
        <f>'Stavební rozpočet'!I99</f>
        <v>0</v>
      </c>
      <c r="F28" s="32">
        <f>'Stavební rozpočet'!J99</f>
        <v>0</v>
      </c>
      <c r="G28" s="32">
        <f>'Stavební rozpočet'!K99</f>
        <v>0</v>
      </c>
      <c r="H28" s="32" t="s">
        <v>731</v>
      </c>
      <c r="I28" s="32">
        <f t="shared" si="0"/>
        <v>0</v>
      </c>
    </row>
    <row r="29" spans="1:9" x14ac:dyDescent="0.25">
      <c r="A29" s="10"/>
      <c r="B29" s="10" t="s">
        <v>252</v>
      </c>
      <c r="C29" s="157" t="s">
        <v>482</v>
      </c>
      <c r="D29" s="145"/>
      <c r="E29" s="32">
        <f>'Stavební rozpočet'!I103</f>
        <v>0</v>
      </c>
      <c r="F29" s="32">
        <f>'Stavební rozpočet'!J103</f>
        <v>0</v>
      </c>
      <c r="G29" s="32">
        <f>'Stavební rozpočet'!K103</f>
        <v>0</v>
      </c>
      <c r="H29" s="32" t="s">
        <v>731</v>
      </c>
      <c r="I29" s="32">
        <f t="shared" si="0"/>
        <v>0</v>
      </c>
    </row>
    <row r="30" spans="1:9" x14ac:dyDescent="0.25">
      <c r="A30" s="10"/>
      <c r="B30" s="10" t="s">
        <v>256</v>
      </c>
      <c r="C30" s="157" t="s">
        <v>486</v>
      </c>
      <c r="D30" s="145"/>
      <c r="E30" s="32">
        <f>'Stavební rozpočet'!I107</f>
        <v>0</v>
      </c>
      <c r="F30" s="32">
        <f>'Stavební rozpočet'!J107</f>
        <v>0</v>
      </c>
      <c r="G30" s="32">
        <f>'Stavební rozpočet'!K107</f>
        <v>0</v>
      </c>
      <c r="H30" s="32" t="s">
        <v>731</v>
      </c>
      <c r="I30" s="32">
        <f t="shared" si="0"/>
        <v>0</v>
      </c>
    </row>
    <row r="31" spans="1:9" x14ac:dyDescent="0.25">
      <c r="A31" s="10"/>
      <c r="B31" s="10" t="s">
        <v>259</v>
      </c>
      <c r="C31" s="157" t="s">
        <v>489</v>
      </c>
      <c r="D31" s="145"/>
      <c r="E31" s="32">
        <f>'Stavební rozpočet'!I110</f>
        <v>0</v>
      </c>
      <c r="F31" s="32">
        <f>'Stavební rozpočet'!J110</f>
        <v>0</v>
      </c>
      <c r="G31" s="32">
        <f>'Stavební rozpočet'!K110</f>
        <v>0</v>
      </c>
      <c r="H31" s="32" t="s">
        <v>731</v>
      </c>
      <c r="I31" s="32">
        <f t="shared" si="0"/>
        <v>0</v>
      </c>
    </row>
    <row r="32" spans="1:9" x14ac:dyDescent="0.25">
      <c r="A32" s="10"/>
      <c r="B32" s="10" t="s">
        <v>263</v>
      </c>
      <c r="C32" s="157" t="s">
        <v>492</v>
      </c>
      <c r="D32" s="145"/>
      <c r="E32" s="32">
        <f>'Stavební rozpočet'!I114</f>
        <v>0</v>
      </c>
      <c r="F32" s="32">
        <f>'Stavební rozpočet'!J114</f>
        <v>0</v>
      </c>
      <c r="G32" s="32">
        <f>'Stavební rozpočet'!K114</f>
        <v>0</v>
      </c>
      <c r="H32" s="32" t="s">
        <v>731</v>
      </c>
      <c r="I32" s="32">
        <f t="shared" si="0"/>
        <v>0</v>
      </c>
    </row>
    <row r="33" spans="1:9" x14ac:dyDescent="0.25">
      <c r="A33" s="10"/>
      <c r="B33" s="10" t="s">
        <v>268</v>
      </c>
      <c r="C33" s="157" t="s">
        <v>495</v>
      </c>
      <c r="D33" s="145"/>
      <c r="E33" s="32">
        <f>'Stavební rozpočet'!I119</f>
        <v>0</v>
      </c>
      <c r="F33" s="32">
        <f>'Stavební rozpočet'!J119</f>
        <v>0</v>
      </c>
      <c r="G33" s="32">
        <f>'Stavební rozpočet'!K119</f>
        <v>0</v>
      </c>
      <c r="H33" s="32" t="s">
        <v>731</v>
      </c>
      <c r="I33" s="32">
        <f t="shared" si="0"/>
        <v>0</v>
      </c>
    </row>
    <row r="34" spans="1:9" x14ac:dyDescent="0.25">
      <c r="A34" s="10"/>
      <c r="B34" s="10" t="s">
        <v>281</v>
      </c>
      <c r="C34" s="157" t="s">
        <v>504</v>
      </c>
      <c r="D34" s="145"/>
      <c r="E34" s="32">
        <f>'Stavební rozpočet'!I132</f>
        <v>0</v>
      </c>
      <c r="F34" s="32">
        <f>'Stavební rozpočet'!J132</f>
        <v>0</v>
      </c>
      <c r="G34" s="32">
        <f>'Stavební rozpočet'!K132</f>
        <v>0</v>
      </c>
      <c r="H34" s="32" t="s">
        <v>731</v>
      </c>
      <c r="I34" s="32">
        <f t="shared" si="0"/>
        <v>0</v>
      </c>
    </row>
    <row r="35" spans="1:9" x14ac:dyDescent="0.25">
      <c r="A35" s="10"/>
      <c r="B35" s="10" t="s">
        <v>285</v>
      </c>
      <c r="C35" s="157" t="s">
        <v>507</v>
      </c>
      <c r="D35" s="145"/>
      <c r="E35" s="32">
        <f>'Stavební rozpočet'!I136</f>
        <v>0</v>
      </c>
      <c r="F35" s="32">
        <f>'Stavební rozpočet'!J136</f>
        <v>0</v>
      </c>
      <c r="G35" s="32">
        <f>'Stavební rozpočet'!K136</f>
        <v>0</v>
      </c>
      <c r="H35" s="32" t="s">
        <v>731</v>
      </c>
      <c r="I35" s="32">
        <f t="shared" si="0"/>
        <v>0</v>
      </c>
    </row>
    <row r="36" spans="1:9" x14ac:dyDescent="0.25">
      <c r="A36" s="10"/>
      <c r="B36" s="10" t="s">
        <v>297</v>
      </c>
      <c r="C36" s="157" t="s">
        <v>514</v>
      </c>
      <c r="D36" s="145"/>
      <c r="E36" s="32">
        <f>'Stavební rozpočet'!I148</f>
        <v>0</v>
      </c>
      <c r="F36" s="32">
        <f>'Stavební rozpočet'!J148</f>
        <v>0</v>
      </c>
      <c r="G36" s="32">
        <f>'Stavební rozpočet'!K148</f>
        <v>0</v>
      </c>
      <c r="H36" s="32" t="s">
        <v>731</v>
      </c>
      <c r="I36" s="32">
        <f t="shared" si="0"/>
        <v>0</v>
      </c>
    </row>
    <row r="37" spans="1:9" x14ac:dyDescent="0.25">
      <c r="A37" s="10"/>
      <c r="B37" s="10" t="s">
        <v>301</v>
      </c>
      <c r="C37" s="157" t="s">
        <v>518</v>
      </c>
      <c r="D37" s="145"/>
      <c r="E37" s="32">
        <f>'Stavební rozpočet'!I152</f>
        <v>0</v>
      </c>
      <c r="F37" s="32">
        <f>'Stavební rozpočet'!J152</f>
        <v>0</v>
      </c>
      <c r="G37" s="32">
        <f>'Stavební rozpočet'!K152</f>
        <v>0</v>
      </c>
      <c r="H37" s="32" t="s">
        <v>731</v>
      </c>
      <c r="I37" s="32">
        <f t="shared" si="0"/>
        <v>0</v>
      </c>
    </row>
    <row r="38" spans="1:9" x14ac:dyDescent="0.25">
      <c r="A38" s="10"/>
      <c r="B38" s="10" t="s">
        <v>304</v>
      </c>
      <c r="C38" s="157" t="s">
        <v>521</v>
      </c>
      <c r="D38" s="145"/>
      <c r="E38" s="32">
        <f>'Stavební rozpočet'!I155</f>
        <v>0</v>
      </c>
      <c r="F38" s="32">
        <f>'Stavební rozpočet'!J155</f>
        <v>0</v>
      </c>
      <c r="G38" s="32">
        <f>'Stavební rozpočet'!K155</f>
        <v>0</v>
      </c>
      <c r="H38" s="32" t="s">
        <v>731</v>
      </c>
      <c r="I38" s="32">
        <f t="shared" si="0"/>
        <v>0</v>
      </c>
    </row>
    <row r="39" spans="1:9" x14ac:dyDescent="0.25">
      <c r="A39" s="10"/>
      <c r="B39" s="10" t="s">
        <v>307</v>
      </c>
      <c r="C39" s="157" t="s">
        <v>525</v>
      </c>
      <c r="D39" s="145"/>
      <c r="E39" s="32">
        <f>'Stavební rozpočet'!I159</f>
        <v>0</v>
      </c>
      <c r="F39" s="32">
        <f>'Stavební rozpočet'!J159</f>
        <v>0</v>
      </c>
      <c r="G39" s="32">
        <f>'Stavební rozpočet'!K159</f>
        <v>0</v>
      </c>
      <c r="H39" s="32" t="s">
        <v>731</v>
      </c>
      <c r="I39" s="32">
        <f t="shared" si="0"/>
        <v>0</v>
      </c>
    </row>
    <row r="40" spans="1:9" x14ac:dyDescent="0.25">
      <c r="A40" s="10"/>
      <c r="B40" s="10" t="s">
        <v>315</v>
      </c>
      <c r="C40" s="157" t="s">
        <v>530</v>
      </c>
      <c r="D40" s="145"/>
      <c r="E40" s="32">
        <f>'Stavební rozpočet'!I167</f>
        <v>0</v>
      </c>
      <c r="F40" s="32">
        <f>'Stavební rozpočet'!J167</f>
        <v>0</v>
      </c>
      <c r="G40" s="32">
        <f>'Stavební rozpočet'!K167</f>
        <v>0</v>
      </c>
      <c r="H40" s="32" t="s">
        <v>731</v>
      </c>
      <c r="I40" s="32">
        <f t="shared" si="0"/>
        <v>0</v>
      </c>
    </row>
    <row r="41" spans="1:9" x14ac:dyDescent="0.25">
      <c r="A41" s="10"/>
      <c r="B41" s="10" t="s">
        <v>319</v>
      </c>
      <c r="C41" s="157" t="s">
        <v>534</v>
      </c>
      <c r="D41" s="145"/>
      <c r="E41" s="32">
        <f>'Stavební rozpočet'!I171</f>
        <v>0</v>
      </c>
      <c r="F41" s="32">
        <f>'Stavební rozpočet'!J171</f>
        <v>0</v>
      </c>
      <c r="G41" s="32">
        <f>'Stavební rozpočet'!K171</f>
        <v>0</v>
      </c>
      <c r="H41" s="32" t="s">
        <v>731</v>
      </c>
      <c r="I41" s="32">
        <f t="shared" si="0"/>
        <v>0</v>
      </c>
    </row>
    <row r="42" spans="1:9" x14ac:dyDescent="0.25">
      <c r="A42" s="10"/>
      <c r="B42" s="10" t="s">
        <v>322</v>
      </c>
      <c r="C42" s="157" t="s">
        <v>535</v>
      </c>
      <c r="D42" s="145"/>
      <c r="E42" s="32">
        <f>'Stavební rozpočet'!I174</f>
        <v>0</v>
      </c>
      <c r="F42" s="32">
        <f>'Stavební rozpočet'!J174</f>
        <v>0</v>
      </c>
      <c r="G42" s="32">
        <f>'Stavební rozpočet'!K174</f>
        <v>0</v>
      </c>
      <c r="H42" s="32" t="s">
        <v>731</v>
      </c>
      <c r="I42" s="32">
        <f t="shared" si="0"/>
        <v>0</v>
      </c>
    </row>
    <row r="43" spans="1:9" x14ac:dyDescent="0.25">
      <c r="A43" s="10"/>
      <c r="B43" s="10" t="s">
        <v>95</v>
      </c>
      <c r="C43" s="157" t="s">
        <v>539</v>
      </c>
      <c r="D43" s="145"/>
      <c r="E43" s="32">
        <f>'Stavební rozpočet'!I178</f>
        <v>0</v>
      </c>
      <c r="F43" s="32">
        <f>'Stavební rozpočet'!J178</f>
        <v>0</v>
      </c>
      <c r="G43" s="32">
        <f>'Stavební rozpočet'!K178</f>
        <v>0</v>
      </c>
      <c r="H43" s="32" t="s">
        <v>731</v>
      </c>
      <c r="I43" s="32">
        <f t="shared" si="0"/>
        <v>0</v>
      </c>
    </row>
    <row r="44" spans="1:9" x14ac:dyDescent="0.25">
      <c r="A44" s="10"/>
      <c r="B44" s="10" t="s">
        <v>98</v>
      </c>
      <c r="C44" s="157" t="s">
        <v>543</v>
      </c>
      <c r="D44" s="145"/>
      <c r="E44" s="32">
        <f>'Stavební rozpočet'!I182</f>
        <v>0</v>
      </c>
      <c r="F44" s="32">
        <f>'Stavební rozpočet'!J182</f>
        <v>0</v>
      </c>
      <c r="G44" s="32">
        <f>'Stavební rozpočet'!K182</f>
        <v>0</v>
      </c>
      <c r="H44" s="32" t="s">
        <v>731</v>
      </c>
      <c r="I44" s="32">
        <f t="shared" si="0"/>
        <v>0</v>
      </c>
    </row>
    <row r="45" spans="1:9" x14ac:dyDescent="0.25">
      <c r="A45" s="10"/>
      <c r="B45" s="10" t="s">
        <v>100</v>
      </c>
      <c r="C45" s="157" t="s">
        <v>545</v>
      </c>
      <c r="D45" s="145"/>
      <c r="E45" s="32">
        <f>'Stavební rozpočet'!I189</f>
        <v>0</v>
      </c>
      <c r="F45" s="32">
        <f>'Stavební rozpočet'!J189</f>
        <v>0</v>
      </c>
      <c r="G45" s="32">
        <f>'Stavební rozpočet'!K189</f>
        <v>0</v>
      </c>
      <c r="H45" s="32" t="s">
        <v>731</v>
      </c>
      <c r="I45" s="32">
        <f t="shared" si="0"/>
        <v>0</v>
      </c>
    </row>
    <row r="46" spans="1:9" x14ac:dyDescent="0.25">
      <c r="A46" s="10"/>
      <c r="B46" s="10" t="s">
        <v>101</v>
      </c>
      <c r="C46" s="157" t="s">
        <v>565</v>
      </c>
      <c r="D46" s="145"/>
      <c r="E46" s="32">
        <f>'Stavební rozpočet'!I209</f>
        <v>0</v>
      </c>
      <c r="F46" s="32">
        <f>'Stavební rozpočet'!J209</f>
        <v>0</v>
      </c>
      <c r="G46" s="32">
        <f>'Stavební rozpočet'!K209</f>
        <v>0</v>
      </c>
      <c r="H46" s="32" t="s">
        <v>731</v>
      </c>
      <c r="I46" s="32">
        <f t="shared" si="0"/>
        <v>0</v>
      </c>
    </row>
    <row r="47" spans="1:9" x14ac:dyDescent="0.25">
      <c r="A47" s="10"/>
      <c r="B47" s="10" t="s">
        <v>353</v>
      </c>
      <c r="C47" s="157" t="s">
        <v>572</v>
      </c>
      <c r="D47" s="145"/>
      <c r="E47" s="32">
        <f>'Stavební rozpočet'!I216</f>
        <v>0</v>
      </c>
      <c r="F47" s="32">
        <f>'Stavební rozpočet'!J216</f>
        <v>0</v>
      </c>
      <c r="G47" s="32">
        <f>'Stavební rozpočet'!K216</f>
        <v>0</v>
      </c>
      <c r="H47" s="32" t="s">
        <v>731</v>
      </c>
      <c r="I47" s="32">
        <f t="shared" si="0"/>
        <v>0</v>
      </c>
    </row>
    <row r="48" spans="1:9" x14ac:dyDescent="0.25">
      <c r="A48" s="10"/>
      <c r="B48" s="10" t="s">
        <v>355</v>
      </c>
      <c r="C48" s="157" t="s">
        <v>574</v>
      </c>
      <c r="D48" s="145"/>
      <c r="E48" s="32">
        <f>'Stavební rozpočet'!I218</f>
        <v>0</v>
      </c>
      <c r="F48" s="32">
        <f>'Stavební rozpočet'!J218</f>
        <v>0</v>
      </c>
      <c r="G48" s="32">
        <f>'Stavební rozpočet'!K218</f>
        <v>0</v>
      </c>
      <c r="H48" s="32" t="s">
        <v>731</v>
      </c>
      <c r="I48" s="32">
        <f t="shared" si="0"/>
        <v>0</v>
      </c>
    </row>
    <row r="49" spans="1:9" x14ac:dyDescent="0.25">
      <c r="A49" s="10"/>
      <c r="B49" s="10" t="s">
        <v>358</v>
      </c>
      <c r="C49" s="157" t="s">
        <v>577</v>
      </c>
      <c r="D49" s="145"/>
      <c r="E49" s="32">
        <f>'Stavební rozpočet'!I221</f>
        <v>0</v>
      </c>
      <c r="F49" s="32">
        <f>'Stavební rozpočet'!J221</f>
        <v>0</v>
      </c>
      <c r="G49" s="32">
        <f>'Stavební rozpočet'!K221</f>
        <v>0</v>
      </c>
      <c r="H49" s="32" t="s">
        <v>731</v>
      </c>
      <c r="I49" s="32">
        <f t="shared" si="0"/>
        <v>0</v>
      </c>
    </row>
    <row r="50" spans="1:9" x14ac:dyDescent="0.25">
      <c r="A50" s="10"/>
      <c r="B50" s="10" t="s">
        <v>385</v>
      </c>
      <c r="C50" s="157" t="s">
        <v>604</v>
      </c>
      <c r="D50" s="145"/>
      <c r="E50" s="32">
        <f>'Stavební rozpočet'!I249</f>
        <v>0</v>
      </c>
      <c r="F50" s="32">
        <f>'Stavební rozpočet'!J249</f>
        <v>0</v>
      </c>
      <c r="G50" s="32">
        <f>'Stavební rozpočet'!K249</f>
        <v>0</v>
      </c>
      <c r="H50" s="32" t="s">
        <v>731</v>
      </c>
      <c r="I50" s="32">
        <f t="shared" si="0"/>
        <v>0</v>
      </c>
    </row>
    <row r="51" spans="1:9" x14ac:dyDescent="0.25">
      <c r="A51" s="10"/>
      <c r="B51" s="10" t="s">
        <v>387</v>
      </c>
      <c r="C51" s="157" t="s">
        <v>606</v>
      </c>
      <c r="D51" s="145"/>
      <c r="E51" s="32">
        <f>'Stavební rozpočet'!I251</f>
        <v>0</v>
      </c>
      <c r="F51" s="32">
        <f>'Stavební rozpočet'!J251</f>
        <v>0</v>
      </c>
      <c r="G51" s="32">
        <f>'Stavební rozpočet'!K251</f>
        <v>0</v>
      </c>
      <c r="H51" s="32" t="s">
        <v>731</v>
      </c>
      <c r="I51" s="32">
        <f t="shared" si="0"/>
        <v>0</v>
      </c>
    </row>
    <row r="53" spans="1:9" x14ac:dyDescent="0.25">
      <c r="F53" s="44" t="s">
        <v>651</v>
      </c>
      <c r="G53" s="46">
        <f>ROUND(SUM(I11:I51),1)</f>
        <v>0</v>
      </c>
    </row>
  </sheetData>
  <sheetProtection algorithmName="SHA-512" hashValue="fSMpQvY/l2W6G4FapHXAzZ3k6QeeB+ikkMiCEBHQbeaFdqa291nQMKk0rprlojdY9vP4J2UJIaIVCBMvyle0VA==" saltValue="ohRRt9bIi4+r4kIhw5LczA==" spinCount="100000" sheet="1" objects="1" scenarios="1"/>
  <mergeCells count="59">
    <mergeCell ref="C51:D51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A8:A9"/>
    <mergeCell ref="B8:C9"/>
    <mergeCell ref="D8:D9"/>
    <mergeCell ref="E8:G9"/>
    <mergeCell ref="C10:D10"/>
    <mergeCell ref="A4:A5"/>
    <mergeCell ref="B4:C5"/>
    <mergeCell ref="D4:D5"/>
    <mergeCell ref="E4:G5"/>
    <mergeCell ref="A6:A7"/>
    <mergeCell ref="B6:C7"/>
    <mergeCell ref="D6:D7"/>
    <mergeCell ref="E6:G7"/>
    <mergeCell ref="A1:G1"/>
    <mergeCell ref="A2:A3"/>
    <mergeCell ref="B2:C3"/>
    <mergeCell ref="D2:D3"/>
    <mergeCell ref="E2:G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BJ266"/>
  <sheetViews>
    <sheetView workbookViewId="0">
      <pane ySplit="11" topLeftCell="A12" activePane="bottomLeft" state="frozenSplit"/>
      <selection pane="bottomLeft" activeCell="H243" sqref="H243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63.5546875" customWidth="1"/>
    <col min="6" max="6" width="6.44140625" customWidth="1"/>
    <col min="7" max="7" width="12.88671875" customWidth="1"/>
    <col min="8" max="8" width="12" customWidth="1"/>
    <col min="9" max="11" width="14.33203125" customWidth="1"/>
    <col min="12" max="12" width="6" customWidth="1"/>
    <col min="13" max="13" width="11.6640625" customWidth="1"/>
    <col min="25" max="62" width="12.109375" hidden="1" customWidth="1"/>
  </cols>
  <sheetData>
    <row r="1" spans="1:62" ht="72.900000000000006" customHeight="1" x14ac:dyDescent="0.4">
      <c r="A1" s="199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62" x14ac:dyDescent="0.25">
      <c r="A2" s="142" t="s">
        <v>1</v>
      </c>
      <c r="B2" s="143"/>
      <c r="C2" s="146" t="s">
        <v>400</v>
      </c>
      <c r="D2" s="208" t="s">
        <v>619</v>
      </c>
      <c r="E2" s="143"/>
      <c r="F2" s="208" t="s">
        <v>6</v>
      </c>
      <c r="G2" s="143"/>
      <c r="H2" s="281" t="s">
        <v>640</v>
      </c>
      <c r="I2" s="281" t="s">
        <v>646</v>
      </c>
      <c r="J2" s="143"/>
      <c r="K2" s="143"/>
      <c r="L2" s="143"/>
      <c r="M2" s="200"/>
      <c r="N2" s="30"/>
    </row>
    <row r="3" spans="1:62" x14ac:dyDescent="0.25">
      <c r="A3" s="144"/>
      <c r="B3" s="145"/>
      <c r="C3" s="148"/>
      <c r="D3" s="145"/>
      <c r="E3" s="145"/>
      <c r="F3" s="145"/>
      <c r="G3" s="145"/>
      <c r="H3" s="282"/>
      <c r="I3" s="282"/>
      <c r="J3" s="145"/>
      <c r="K3" s="145"/>
      <c r="L3" s="145"/>
      <c r="M3" s="151"/>
      <c r="N3" s="30"/>
    </row>
    <row r="4" spans="1:62" x14ac:dyDescent="0.25">
      <c r="A4" s="153" t="s">
        <v>2</v>
      </c>
      <c r="B4" s="145"/>
      <c r="C4" s="154" t="s">
        <v>6</v>
      </c>
      <c r="D4" s="157" t="s">
        <v>620</v>
      </c>
      <c r="E4" s="145"/>
      <c r="F4" s="157" t="s">
        <v>6</v>
      </c>
      <c r="G4" s="145"/>
      <c r="H4" s="283" t="s">
        <v>641</v>
      </c>
      <c r="I4" s="283" t="s">
        <v>647</v>
      </c>
      <c r="J4" s="145"/>
      <c r="K4" s="145"/>
      <c r="L4" s="145"/>
      <c r="M4" s="151"/>
      <c r="N4" s="30"/>
    </row>
    <row r="5" spans="1:62" x14ac:dyDescent="0.25">
      <c r="A5" s="144"/>
      <c r="B5" s="145"/>
      <c r="C5" s="145"/>
      <c r="D5" s="145"/>
      <c r="E5" s="145"/>
      <c r="F5" s="145"/>
      <c r="G5" s="145"/>
      <c r="H5" s="282"/>
      <c r="I5" s="282"/>
      <c r="J5" s="145"/>
      <c r="K5" s="145"/>
      <c r="L5" s="145"/>
      <c r="M5" s="151"/>
      <c r="N5" s="30"/>
    </row>
    <row r="6" spans="1:62" x14ac:dyDescent="0.25">
      <c r="A6" s="153" t="s">
        <v>3</v>
      </c>
      <c r="B6" s="145"/>
      <c r="C6" s="154" t="s">
        <v>401</v>
      </c>
      <c r="D6" s="157" t="s">
        <v>621</v>
      </c>
      <c r="E6" s="145"/>
      <c r="F6" s="157" t="s">
        <v>6</v>
      </c>
      <c r="G6" s="145"/>
      <c r="H6" s="283" t="s">
        <v>642</v>
      </c>
      <c r="I6" s="284" t="s">
        <v>648</v>
      </c>
      <c r="J6" s="145"/>
      <c r="K6" s="282"/>
      <c r="L6" s="282"/>
      <c r="M6" s="285"/>
      <c r="N6" s="30"/>
    </row>
    <row r="7" spans="1:62" x14ac:dyDescent="0.25">
      <c r="A7" s="144"/>
      <c r="B7" s="145"/>
      <c r="C7" s="145"/>
      <c r="D7" s="145"/>
      <c r="E7" s="145"/>
      <c r="F7" s="145"/>
      <c r="G7" s="145"/>
      <c r="H7" s="282"/>
      <c r="I7" s="282"/>
      <c r="J7" s="145"/>
      <c r="K7" s="282"/>
      <c r="L7" s="282"/>
      <c r="M7" s="285"/>
      <c r="N7" s="30"/>
    </row>
    <row r="8" spans="1:62" x14ac:dyDescent="0.25">
      <c r="A8" s="153" t="s">
        <v>4</v>
      </c>
      <c r="B8" s="145"/>
      <c r="C8" s="154">
        <v>8126913</v>
      </c>
      <c r="D8" s="157" t="s">
        <v>622</v>
      </c>
      <c r="E8" s="145"/>
      <c r="F8" s="157" t="s">
        <v>623</v>
      </c>
      <c r="G8" s="145"/>
      <c r="H8" s="283" t="s">
        <v>643</v>
      </c>
      <c r="I8" s="284" t="s">
        <v>648</v>
      </c>
      <c r="J8" s="145"/>
      <c r="K8" s="282"/>
      <c r="L8" s="282"/>
      <c r="M8" s="285"/>
      <c r="N8" s="30"/>
    </row>
    <row r="9" spans="1:62" x14ac:dyDescent="0.25">
      <c r="A9" s="201"/>
      <c r="B9" s="202"/>
      <c r="C9" s="202"/>
      <c r="D9" s="202"/>
      <c r="E9" s="202"/>
      <c r="F9" s="202"/>
      <c r="G9" s="202"/>
      <c r="H9" s="286"/>
      <c r="I9" s="286"/>
      <c r="J9" s="202"/>
      <c r="K9" s="286"/>
      <c r="L9" s="286"/>
      <c r="M9" s="287"/>
      <c r="N9" s="30"/>
    </row>
    <row r="10" spans="1:62" x14ac:dyDescent="0.25">
      <c r="A10" s="2" t="s">
        <v>5</v>
      </c>
      <c r="B10" s="8" t="s">
        <v>193</v>
      </c>
      <c r="C10" s="209" t="s">
        <v>402</v>
      </c>
      <c r="D10" s="210"/>
      <c r="E10" s="211"/>
      <c r="F10" s="8" t="s">
        <v>624</v>
      </c>
      <c r="G10" s="11" t="s">
        <v>639</v>
      </c>
      <c r="H10" s="14" t="s">
        <v>644</v>
      </c>
      <c r="I10" s="212" t="s">
        <v>649</v>
      </c>
      <c r="J10" s="213"/>
      <c r="K10" s="214"/>
      <c r="L10" s="14" t="s">
        <v>654</v>
      </c>
      <c r="M10" s="24" t="s">
        <v>655</v>
      </c>
      <c r="N10" s="31"/>
    </row>
    <row r="11" spans="1:62" x14ac:dyDescent="0.25">
      <c r="A11" s="3" t="s">
        <v>6</v>
      </c>
      <c r="B11" s="9" t="s">
        <v>6</v>
      </c>
      <c r="C11" s="215" t="s">
        <v>403</v>
      </c>
      <c r="D11" s="216"/>
      <c r="E11" s="217"/>
      <c r="F11" s="9" t="s">
        <v>6</v>
      </c>
      <c r="G11" s="9" t="s">
        <v>6</v>
      </c>
      <c r="H11" s="15" t="s">
        <v>645</v>
      </c>
      <c r="I11" s="21" t="s">
        <v>650</v>
      </c>
      <c r="J11" s="22" t="s">
        <v>652</v>
      </c>
      <c r="K11" s="22" t="s">
        <v>653</v>
      </c>
      <c r="L11" s="23" t="s">
        <v>6</v>
      </c>
      <c r="M11" s="25" t="s">
        <v>656</v>
      </c>
      <c r="N11" s="31"/>
      <c r="Z11" s="28" t="s">
        <v>658</v>
      </c>
      <c r="AA11" s="28" t="s">
        <v>659</v>
      </c>
      <c r="AB11" s="28" t="s">
        <v>660</v>
      </c>
      <c r="AC11" s="28" t="s">
        <v>661</v>
      </c>
      <c r="AD11" s="28" t="s">
        <v>662</v>
      </c>
      <c r="AE11" s="28" t="s">
        <v>663</v>
      </c>
      <c r="AF11" s="28" t="s">
        <v>664</v>
      </c>
      <c r="AG11" s="28" t="s">
        <v>665</v>
      </c>
      <c r="AH11" s="28" t="s">
        <v>666</v>
      </c>
      <c r="BH11" s="28" t="s">
        <v>722</v>
      </c>
      <c r="BI11" s="28" t="s">
        <v>723</v>
      </c>
      <c r="BJ11" s="28" t="s">
        <v>724</v>
      </c>
    </row>
    <row r="12" spans="1:62" x14ac:dyDescent="0.25">
      <c r="A12" s="4"/>
      <c r="B12" s="135" t="s">
        <v>17</v>
      </c>
      <c r="C12" s="218" t="s">
        <v>404</v>
      </c>
      <c r="D12" s="219"/>
      <c r="E12" s="219"/>
      <c r="F12" s="4" t="s">
        <v>6</v>
      </c>
      <c r="G12" s="4" t="s">
        <v>6</v>
      </c>
      <c r="H12" s="16" t="s">
        <v>6</v>
      </c>
      <c r="I12" s="34">
        <f>SUM(I13:I15)</f>
        <v>0</v>
      </c>
      <c r="J12" s="34">
        <f>SUM(J13:J15)</f>
        <v>0</v>
      </c>
      <c r="K12" s="34">
        <f>SUM(K13:K15)</f>
        <v>0</v>
      </c>
      <c r="L12" s="36">
        <f>IF(K264=0,0,K12/K264)</f>
        <v>0</v>
      </c>
      <c r="M12" s="26"/>
      <c r="AI12" s="28"/>
      <c r="AS12" s="35">
        <f>SUM(AJ13:AJ15)</f>
        <v>0</v>
      </c>
      <c r="AT12" s="35">
        <f>SUM(AK13:AK15)</f>
        <v>0</v>
      </c>
      <c r="AU12" s="35">
        <f>SUM(AL13:AL15)</f>
        <v>0</v>
      </c>
    </row>
    <row r="13" spans="1:62" x14ac:dyDescent="0.25">
      <c r="A13" s="136" t="s">
        <v>7</v>
      </c>
      <c r="B13" s="136" t="s">
        <v>194</v>
      </c>
      <c r="C13" s="220" t="s">
        <v>405</v>
      </c>
      <c r="D13" s="221"/>
      <c r="E13" s="222"/>
      <c r="F13" s="136" t="s">
        <v>625</v>
      </c>
      <c r="G13" s="88">
        <v>32.76</v>
      </c>
      <c r="H13" s="96">
        <v>0</v>
      </c>
      <c r="I13" s="89">
        <f>G13*AO13</f>
        <v>0</v>
      </c>
      <c r="J13" s="89">
        <f>G13*AP13</f>
        <v>0</v>
      </c>
      <c r="K13" s="89">
        <f>G13*H13</f>
        <v>0</v>
      </c>
      <c r="L13" s="90">
        <f>IF(K264=0,0,K13/K264)</f>
        <v>0</v>
      </c>
      <c r="M13" s="91" t="s">
        <v>657</v>
      </c>
      <c r="Z13" s="32">
        <f>IF(AQ13="5",BJ13,0)</f>
        <v>0</v>
      </c>
      <c r="AB13" s="32">
        <f>IF(AQ13="1",BH13,0)</f>
        <v>0</v>
      </c>
      <c r="AC13" s="32">
        <f>IF(AQ13="1",BI13,0)</f>
        <v>0</v>
      </c>
      <c r="AD13" s="32">
        <f>IF(AQ13="7",BH13,0)</f>
        <v>0</v>
      </c>
      <c r="AE13" s="32">
        <f>IF(AQ13="7",BI13,0)</f>
        <v>0</v>
      </c>
      <c r="AF13" s="32">
        <f>IF(AQ13="2",BH13,0)</f>
        <v>0</v>
      </c>
      <c r="AG13" s="32">
        <f>IF(AQ13="2",BI13,0)</f>
        <v>0</v>
      </c>
      <c r="AH13" s="32">
        <f>IF(AQ13="0",BJ13,0)</f>
        <v>0</v>
      </c>
      <c r="AI13" s="28"/>
      <c r="AJ13" s="12">
        <f>IF(AN13=0,K13,0)</f>
        <v>0</v>
      </c>
      <c r="AK13" s="12">
        <f>IF(AN13=15,K13,0)</f>
        <v>0</v>
      </c>
      <c r="AL13" s="12">
        <f>IF(AN13=21,K13,0)</f>
        <v>0</v>
      </c>
      <c r="AN13" s="32">
        <v>21</v>
      </c>
      <c r="AO13" s="32">
        <f>H13*0</f>
        <v>0</v>
      </c>
      <c r="AP13" s="32">
        <f>H13*(1-0)</f>
        <v>0</v>
      </c>
      <c r="AQ13" s="27" t="s">
        <v>7</v>
      </c>
      <c r="AV13" s="32">
        <f>AW13+AX13</f>
        <v>0</v>
      </c>
      <c r="AW13" s="32">
        <f>G13*AO13</f>
        <v>0</v>
      </c>
      <c r="AX13" s="32">
        <f>G13*AP13</f>
        <v>0</v>
      </c>
      <c r="AY13" s="33" t="s">
        <v>667</v>
      </c>
      <c r="AZ13" s="33" t="s">
        <v>708</v>
      </c>
      <c r="BA13" s="28" t="s">
        <v>721</v>
      </c>
      <c r="BC13" s="32">
        <f>AW13+AX13</f>
        <v>0</v>
      </c>
      <c r="BD13" s="32">
        <f>H13/(100-BE13)*100</f>
        <v>0</v>
      </c>
      <c r="BE13" s="32">
        <v>0</v>
      </c>
      <c r="BF13" s="32">
        <f>13</f>
        <v>13</v>
      </c>
      <c r="BH13" s="12">
        <f>G13*AO13</f>
        <v>0</v>
      </c>
      <c r="BI13" s="12">
        <f>G13*AP13</f>
        <v>0</v>
      </c>
      <c r="BJ13" s="12">
        <f>G13*H13</f>
        <v>0</v>
      </c>
    </row>
    <row r="14" spans="1:62" x14ac:dyDescent="0.25">
      <c r="A14" s="137" t="s">
        <v>8</v>
      </c>
      <c r="B14" s="137" t="s">
        <v>195</v>
      </c>
      <c r="C14" s="223" t="s">
        <v>406</v>
      </c>
      <c r="D14" s="221"/>
      <c r="E14" s="224"/>
      <c r="F14" s="137" t="s">
        <v>626</v>
      </c>
      <c r="G14" s="92">
        <v>39.036000000000001</v>
      </c>
      <c r="H14" s="96">
        <v>0</v>
      </c>
      <c r="I14" s="93">
        <f>G14*AO14</f>
        <v>0</v>
      </c>
      <c r="J14" s="93">
        <f>G14*AP14</f>
        <v>0</v>
      </c>
      <c r="K14" s="93">
        <f>G14*H14</f>
        <v>0</v>
      </c>
      <c r="L14" s="94">
        <f>IF(K264=0,0,K14/K264)</f>
        <v>0</v>
      </c>
      <c r="M14" s="95" t="s">
        <v>657</v>
      </c>
      <c r="Z14" s="32">
        <f>IF(AQ14="5",BJ14,0)</f>
        <v>0</v>
      </c>
      <c r="AB14" s="32">
        <f>IF(AQ14="1",BH14,0)</f>
        <v>0</v>
      </c>
      <c r="AC14" s="32">
        <f>IF(AQ14="1",BI14,0)</f>
        <v>0</v>
      </c>
      <c r="AD14" s="32">
        <f>IF(AQ14="7",BH14,0)</f>
        <v>0</v>
      </c>
      <c r="AE14" s="32">
        <f>IF(AQ14="7",BI14,0)</f>
        <v>0</v>
      </c>
      <c r="AF14" s="32">
        <f>IF(AQ14="2",BH14,0)</f>
        <v>0</v>
      </c>
      <c r="AG14" s="32">
        <f>IF(AQ14="2",BI14,0)</f>
        <v>0</v>
      </c>
      <c r="AH14" s="32">
        <f>IF(AQ14="0",BJ14,0)</f>
        <v>0</v>
      </c>
      <c r="AI14" s="28"/>
      <c r="AJ14" s="12">
        <f>IF(AN14=0,K14,0)</f>
        <v>0</v>
      </c>
      <c r="AK14" s="12">
        <f>IF(AN14=15,K14,0)</f>
        <v>0</v>
      </c>
      <c r="AL14" s="12">
        <f>IF(AN14=21,K14,0)</f>
        <v>0</v>
      </c>
      <c r="AN14" s="32">
        <v>21</v>
      </c>
      <c r="AO14" s="32">
        <f>H14*0</f>
        <v>0</v>
      </c>
      <c r="AP14" s="32">
        <f>H14*(1-0)</f>
        <v>0</v>
      </c>
      <c r="AQ14" s="27" t="s">
        <v>7</v>
      </c>
      <c r="AV14" s="32">
        <f>AW14+AX14</f>
        <v>0</v>
      </c>
      <c r="AW14" s="32">
        <f>G14*AO14</f>
        <v>0</v>
      </c>
      <c r="AX14" s="32">
        <f>G14*AP14</f>
        <v>0</v>
      </c>
      <c r="AY14" s="33" t="s">
        <v>667</v>
      </c>
      <c r="AZ14" s="33" t="s">
        <v>708</v>
      </c>
      <c r="BA14" s="28" t="s">
        <v>721</v>
      </c>
      <c r="BC14" s="32">
        <f>AW14+AX14</f>
        <v>0</v>
      </c>
      <c r="BD14" s="32">
        <f>H14/(100-BE14)*100</f>
        <v>0</v>
      </c>
      <c r="BE14" s="32">
        <v>0</v>
      </c>
      <c r="BF14" s="32">
        <f>14</f>
        <v>14</v>
      </c>
      <c r="BH14" s="12">
        <f>G14*AO14</f>
        <v>0</v>
      </c>
      <c r="BI14" s="12">
        <f>G14*AP14</f>
        <v>0</v>
      </c>
      <c r="BJ14" s="12">
        <f>G14*H14</f>
        <v>0</v>
      </c>
    </row>
    <row r="15" spans="1:62" x14ac:dyDescent="0.25">
      <c r="A15" s="132" t="s">
        <v>9</v>
      </c>
      <c r="B15" s="132" t="s">
        <v>196</v>
      </c>
      <c r="C15" s="225" t="s">
        <v>407</v>
      </c>
      <c r="D15" s="221"/>
      <c r="E15" s="221"/>
      <c r="F15" s="132" t="s">
        <v>625</v>
      </c>
      <c r="G15" s="77">
        <v>39.036000000000001</v>
      </c>
      <c r="H15" s="96">
        <v>0</v>
      </c>
      <c r="I15" s="12">
        <f>G15*AO15</f>
        <v>0</v>
      </c>
      <c r="J15" s="12">
        <f>G15*AP15</f>
        <v>0</v>
      </c>
      <c r="K15" s="12">
        <f>G15*H15</f>
        <v>0</v>
      </c>
      <c r="L15" s="37">
        <f>IF(K264=0,0,K15/K264)</f>
        <v>0</v>
      </c>
      <c r="M15" s="27" t="s">
        <v>657</v>
      </c>
      <c r="Z15" s="32">
        <f>IF(AQ15="5",BJ15,0)</f>
        <v>0</v>
      </c>
      <c r="AB15" s="32">
        <f>IF(AQ15="1",BH15,0)</f>
        <v>0</v>
      </c>
      <c r="AC15" s="32">
        <f>IF(AQ15="1",BI15,0)</f>
        <v>0</v>
      </c>
      <c r="AD15" s="32">
        <f>IF(AQ15="7",BH15,0)</f>
        <v>0</v>
      </c>
      <c r="AE15" s="32">
        <f>IF(AQ15="7",BI15,0)</f>
        <v>0</v>
      </c>
      <c r="AF15" s="32">
        <f>IF(AQ15="2",BH15,0)</f>
        <v>0</v>
      </c>
      <c r="AG15" s="32">
        <f>IF(AQ15="2",BI15,0)</f>
        <v>0</v>
      </c>
      <c r="AH15" s="32">
        <f>IF(AQ15="0",BJ15,0)</f>
        <v>0</v>
      </c>
      <c r="AI15" s="28"/>
      <c r="AJ15" s="12">
        <f>IF(AN15=0,K15,0)</f>
        <v>0</v>
      </c>
      <c r="AK15" s="12">
        <f>IF(AN15=15,K15,0)</f>
        <v>0</v>
      </c>
      <c r="AL15" s="12">
        <f>IF(AN15=21,K15,0)</f>
        <v>0</v>
      </c>
      <c r="AN15" s="32">
        <v>21</v>
      </c>
      <c r="AO15" s="32">
        <f>H15*0</f>
        <v>0</v>
      </c>
      <c r="AP15" s="32">
        <f>H15*(1-0)</f>
        <v>0</v>
      </c>
      <c r="AQ15" s="27" t="s">
        <v>7</v>
      </c>
      <c r="AV15" s="32">
        <f>AW15+AX15</f>
        <v>0</v>
      </c>
      <c r="AW15" s="32">
        <f>G15*AO15</f>
        <v>0</v>
      </c>
      <c r="AX15" s="32">
        <f>G15*AP15</f>
        <v>0</v>
      </c>
      <c r="AY15" s="33" t="s">
        <v>667</v>
      </c>
      <c r="AZ15" s="33" t="s">
        <v>708</v>
      </c>
      <c r="BA15" s="28" t="s">
        <v>721</v>
      </c>
      <c r="BC15" s="32">
        <f>AW15+AX15</f>
        <v>0</v>
      </c>
      <c r="BD15" s="32">
        <f>H15/(100-BE15)*100</f>
        <v>0</v>
      </c>
      <c r="BE15" s="32">
        <v>0</v>
      </c>
      <c r="BF15" s="32">
        <f>15</f>
        <v>15</v>
      </c>
      <c r="BH15" s="12">
        <f>G15*AO15</f>
        <v>0</v>
      </c>
      <c r="BI15" s="12">
        <f>G15*AP15</f>
        <v>0</v>
      </c>
      <c r="BJ15" s="12">
        <f>G15*H15</f>
        <v>0</v>
      </c>
    </row>
    <row r="16" spans="1:62" x14ac:dyDescent="0.25">
      <c r="A16" s="5"/>
      <c r="B16" s="133" t="s">
        <v>19</v>
      </c>
      <c r="C16" s="226" t="s">
        <v>408</v>
      </c>
      <c r="D16" s="227"/>
      <c r="E16" s="227"/>
      <c r="F16" s="5" t="s">
        <v>6</v>
      </c>
      <c r="G16" s="5" t="s">
        <v>6</v>
      </c>
      <c r="H16" s="18" t="s">
        <v>6</v>
      </c>
      <c r="I16" s="35">
        <f>SUM(I17:I18)</f>
        <v>0</v>
      </c>
      <c r="J16" s="35">
        <f>SUM(J17:J18)</f>
        <v>0</v>
      </c>
      <c r="K16" s="35">
        <f>SUM(K17:K18)</f>
        <v>0</v>
      </c>
      <c r="L16" s="38">
        <f>IF(K264=0,0,K16/K264)</f>
        <v>0</v>
      </c>
      <c r="M16" s="28"/>
      <c r="AI16" s="28"/>
      <c r="AS16" s="35">
        <f>SUM(AJ17:AJ18)</f>
        <v>0</v>
      </c>
      <c r="AT16" s="35">
        <f>SUM(AK17:AK18)</f>
        <v>0</v>
      </c>
      <c r="AU16" s="35">
        <f>SUM(AL17:AL18)</f>
        <v>0</v>
      </c>
    </row>
    <row r="17" spans="1:62" x14ac:dyDescent="0.25">
      <c r="A17" s="132" t="s">
        <v>10</v>
      </c>
      <c r="B17" s="132" t="s">
        <v>197</v>
      </c>
      <c r="C17" s="225" t="s">
        <v>1115</v>
      </c>
      <c r="D17" s="221"/>
      <c r="E17" s="221"/>
      <c r="F17" s="132" t="s">
        <v>626</v>
      </c>
      <c r="G17" s="77">
        <v>11.109</v>
      </c>
      <c r="H17" s="17">
        <v>0</v>
      </c>
      <c r="I17" s="12">
        <f>G17*AO17</f>
        <v>0</v>
      </c>
      <c r="J17" s="12">
        <f>G17*AP17</f>
        <v>0</v>
      </c>
      <c r="K17" s="12">
        <f>G17*H17</f>
        <v>0</v>
      </c>
      <c r="L17" s="37">
        <f>IF(K264=0,0,K17/K264)</f>
        <v>0</v>
      </c>
      <c r="M17" s="27" t="s">
        <v>657</v>
      </c>
      <c r="Z17" s="32">
        <f>IF(AQ17="5",BJ17,0)</f>
        <v>0</v>
      </c>
      <c r="AB17" s="32">
        <f>IF(AQ17="1",BH17,0)</f>
        <v>0</v>
      </c>
      <c r="AC17" s="32">
        <f>IF(AQ17="1",BI17,0)</f>
        <v>0</v>
      </c>
      <c r="AD17" s="32">
        <f>IF(AQ17="7",BH17,0)</f>
        <v>0</v>
      </c>
      <c r="AE17" s="32">
        <f>IF(AQ17="7",BI17,0)</f>
        <v>0</v>
      </c>
      <c r="AF17" s="32">
        <f>IF(AQ17="2",BH17,0)</f>
        <v>0</v>
      </c>
      <c r="AG17" s="32">
        <f>IF(AQ17="2",BI17,0)</f>
        <v>0</v>
      </c>
      <c r="AH17" s="32">
        <f>IF(AQ17="0",BJ17,0)</f>
        <v>0</v>
      </c>
      <c r="AI17" s="28"/>
      <c r="AJ17" s="12">
        <f>IF(AN17=0,K17,0)</f>
        <v>0</v>
      </c>
      <c r="AK17" s="12">
        <f>IF(AN17=15,K17,0)</f>
        <v>0</v>
      </c>
      <c r="AL17" s="12">
        <f>IF(AN17=21,K17,0)</f>
        <v>0</v>
      </c>
      <c r="AN17" s="32">
        <v>21</v>
      </c>
      <c r="AO17" s="32">
        <f>H17*0</f>
        <v>0</v>
      </c>
      <c r="AP17" s="32">
        <f>H17*(1-0)</f>
        <v>0</v>
      </c>
      <c r="AQ17" s="27" t="s">
        <v>7</v>
      </c>
      <c r="AV17" s="32">
        <f>AW17+AX17</f>
        <v>0</v>
      </c>
      <c r="AW17" s="32">
        <f>G17*AO17</f>
        <v>0</v>
      </c>
      <c r="AX17" s="32">
        <f>G17*AP17</f>
        <v>0</v>
      </c>
      <c r="AY17" s="33" t="s">
        <v>668</v>
      </c>
      <c r="AZ17" s="33" t="s">
        <v>708</v>
      </c>
      <c r="BA17" s="28" t="s">
        <v>721</v>
      </c>
      <c r="BC17" s="32">
        <f>AW17+AX17</f>
        <v>0</v>
      </c>
      <c r="BD17" s="32">
        <f>H17/(100-BE17)*100</f>
        <v>0</v>
      </c>
      <c r="BE17" s="32">
        <v>0</v>
      </c>
      <c r="BF17" s="32">
        <f>17</f>
        <v>17</v>
      </c>
      <c r="BH17" s="12">
        <f>G17*AO17</f>
        <v>0</v>
      </c>
      <c r="BI17" s="12">
        <f>G17*AP17</f>
        <v>0</v>
      </c>
      <c r="BJ17" s="12">
        <f>G17*H17</f>
        <v>0</v>
      </c>
    </row>
    <row r="18" spans="1:62" x14ac:dyDescent="0.25">
      <c r="A18" s="137" t="s">
        <v>11</v>
      </c>
      <c r="B18" s="137" t="s">
        <v>198</v>
      </c>
      <c r="C18" s="223" t="s">
        <v>1116</v>
      </c>
      <c r="D18" s="221"/>
      <c r="E18" s="224"/>
      <c r="F18" s="137" t="s">
        <v>626</v>
      </c>
      <c r="G18" s="92">
        <v>2.88</v>
      </c>
      <c r="H18" s="17">
        <v>0</v>
      </c>
      <c r="I18" s="93">
        <f>G18*AO18</f>
        <v>0</v>
      </c>
      <c r="J18" s="93">
        <f>G18*AP18</f>
        <v>0</v>
      </c>
      <c r="K18" s="93">
        <f>G18*H18</f>
        <v>0</v>
      </c>
      <c r="L18" s="94">
        <f>IF(K264=0,0,K18/K264)</f>
        <v>0</v>
      </c>
      <c r="M18" s="95" t="s">
        <v>657</v>
      </c>
      <c r="Z18" s="32">
        <f>IF(AQ18="5",BJ18,0)</f>
        <v>0</v>
      </c>
      <c r="AB18" s="32">
        <f>IF(AQ18="1",BH18,0)</f>
        <v>0</v>
      </c>
      <c r="AC18" s="32">
        <f>IF(AQ18="1",BI18,0)</f>
        <v>0</v>
      </c>
      <c r="AD18" s="32">
        <f>IF(AQ18="7",BH18,0)</f>
        <v>0</v>
      </c>
      <c r="AE18" s="32">
        <f>IF(AQ18="7",BI18,0)</f>
        <v>0</v>
      </c>
      <c r="AF18" s="32">
        <f>IF(AQ18="2",BH18,0)</f>
        <v>0</v>
      </c>
      <c r="AG18" s="32">
        <f>IF(AQ18="2",BI18,0)</f>
        <v>0</v>
      </c>
      <c r="AH18" s="32">
        <f>IF(AQ18="0",BJ18,0)</f>
        <v>0</v>
      </c>
      <c r="AI18" s="28"/>
      <c r="AJ18" s="12">
        <f>IF(AN18=0,K18,0)</f>
        <v>0</v>
      </c>
      <c r="AK18" s="12">
        <f>IF(AN18=15,K18,0)</f>
        <v>0</v>
      </c>
      <c r="AL18" s="12">
        <f>IF(AN18=21,K18,0)</f>
        <v>0</v>
      </c>
      <c r="AN18" s="32">
        <v>21</v>
      </c>
      <c r="AO18" s="32">
        <f>H18*0</f>
        <v>0</v>
      </c>
      <c r="AP18" s="32">
        <f>H18*(1-0)</f>
        <v>0</v>
      </c>
      <c r="AQ18" s="27" t="s">
        <v>7</v>
      </c>
      <c r="AV18" s="32">
        <f>AW18+AX18</f>
        <v>0</v>
      </c>
      <c r="AW18" s="32">
        <f>G18*AO18</f>
        <v>0</v>
      </c>
      <c r="AX18" s="32">
        <f>G18*AP18</f>
        <v>0</v>
      </c>
      <c r="AY18" s="33" t="s">
        <v>668</v>
      </c>
      <c r="AZ18" s="33" t="s">
        <v>708</v>
      </c>
      <c r="BA18" s="28" t="s">
        <v>721</v>
      </c>
      <c r="BC18" s="32">
        <f>AW18+AX18</f>
        <v>0</v>
      </c>
      <c r="BD18" s="32">
        <f>H18/(100-BE18)*100</f>
        <v>0</v>
      </c>
      <c r="BE18" s="32">
        <v>0</v>
      </c>
      <c r="BF18" s="32">
        <f>18</f>
        <v>18</v>
      </c>
      <c r="BH18" s="12">
        <f>G18*AO18</f>
        <v>0</v>
      </c>
      <c r="BI18" s="12">
        <f>G18*AP18</f>
        <v>0</v>
      </c>
      <c r="BJ18" s="12">
        <f>G18*H18</f>
        <v>0</v>
      </c>
    </row>
    <row r="19" spans="1:62" x14ac:dyDescent="0.25">
      <c r="A19" s="5"/>
      <c r="B19" s="133" t="s">
        <v>22</v>
      </c>
      <c r="C19" s="226" t="s">
        <v>409</v>
      </c>
      <c r="D19" s="227"/>
      <c r="E19" s="227"/>
      <c r="F19" s="5" t="s">
        <v>6</v>
      </c>
      <c r="G19" s="5" t="s">
        <v>6</v>
      </c>
      <c r="H19" s="18" t="s">
        <v>6</v>
      </c>
      <c r="I19" s="35">
        <f>SUM(I20:I22)</f>
        <v>0</v>
      </c>
      <c r="J19" s="35">
        <f>SUM(J20:J22)</f>
        <v>0</v>
      </c>
      <c r="K19" s="35">
        <f>SUM(K20:K22)</f>
        <v>0</v>
      </c>
      <c r="L19" s="38">
        <f>IF(K264=0,0,K19/K264)</f>
        <v>0</v>
      </c>
      <c r="M19" s="28"/>
      <c r="AI19" s="28"/>
      <c r="AS19" s="35">
        <f>SUM(AJ20:AJ22)</f>
        <v>0</v>
      </c>
      <c r="AT19" s="35">
        <f>SUM(AK20:AK22)</f>
        <v>0</v>
      </c>
      <c r="AU19" s="35">
        <f>SUM(AL20:AL22)</f>
        <v>0</v>
      </c>
    </row>
    <row r="20" spans="1:62" x14ac:dyDescent="0.25">
      <c r="A20" s="136" t="s">
        <v>12</v>
      </c>
      <c r="B20" s="136" t="s">
        <v>199</v>
      </c>
      <c r="C20" s="220" t="s">
        <v>410</v>
      </c>
      <c r="D20" s="221"/>
      <c r="E20" s="222"/>
      <c r="F20" s="136" t="s">
        <v>626</v>
      </c>
      <c r="G20" s="88">
        <v>13.989000000000001</v>
      </c>
      <c r="H20" s="17">
        <v>0</v>
      </c>
      <c r="I20" s="89">
        <f>G20*AO20</f>
        <v>0</v>
      </c>
      <c r="J20" s="89">
        <f>G20*AP20</f>
        <v>0</v>
      </c>
      <c r="K20" s="89">
        <f>G20*H20</f>
        <v>0</v>
      </c>
      <c r="L20" s="90">
        <f>IF(K264=0,0,K20/K264)</f>
        <v>0</v>
      </c>
      <c r="M20" s="91" t="s">
        <v>657</v>
      </c>
      <c r="Z20" s="32">
        <f>IF(AQ20="5",BJ20,0)</f>
        <v>0</v>
      </c>
      <c r="AB20" s="32">
        <f>IF(AQ20="1",BH20,0)</f>
        <v>0</v>
      </c>
      <c r="AC20" s="32">
        <f>IF(AQ20="1",BI20,0)</f>
        <v>0</v>
      </c>
      <c r="AD20" s="32">
        <f>IF(AQ20="7",BH20,0)</f>
        <v>0</v>
      </c>
      <c r="AE20" s="32">
        <f>IF(AQ20="7",BI20,0)</f>
        <v>0</v>
      </c>
      <c r="AF20" s="32">
        <f>IF(AQ20="2",BH20,0)</f>
        <v>0</v>
      </c>
      <c r="AG20" s="32">
        <f>IF(AQ20="2",BI20,0)</f>
        <v>0</v>
      </c>
      <c r="AH20" s="32">
        <f>IF(AQ20="0",BJ20,0)</f>
        <v>0</v>
      </c>
      <c r="AI20" s="28"/>
      <c r="AJ20" s="12">
        <f>IF(AN20=0,K20,0)</f>
        <v>0</v>
      </c>
      <c r="AK20" s="12">
        <f>IF(AN20=15,K20,0)</f>
        <v>0</v>
      </c>
      <c r="AL20" s="12">
        <f>IF(AN20=21,K20,0)</f>
        <v>0</v>
      </c>
      <c r="AN20" s="32">
        <v>21</v>
      </c>
      <c r="AO20" s="32">
        <f>H20*0</f>
        <v>0</v>
      </c>
      <c r="AP20" s="32">
        <f>H20*(1-0)</f>
        <v>0</v>
      </c>
      <c r="AQ20" s="27" t="s">
        <v>7</v>
      </c>
      <c r="AV20" s="32">
        <f>AW20+AX20</f>
        <v>0</v>
      </c>
      <c r="AW20" s="32">
        <f>G20*AO20</f>
        <v>0</v>
      </c>
      <c r="AX20" s="32">
        <f>G20*AP20</f>
        <v>0</v>
      </c>
      <c r="AY20" s="33" t="s">
        <v>669</v>
      </c>
      <c r="AZ20" s="33" t="s">
        <v>708</v>
      </c>
      <c r="BA20" s="28" t="s">
        <v>721</v>
      </c>
      <c r="BC20" s="32">
        <f>AW20+AX20</f>
        <v>0</v>
      </c>
      <c r="BD20" s="32">
        <f>H20/(100-BE20)*100</f>
        <v>0</v>
      </c>
      <c r="BE20" s="32">
        <v>0</v>
      </c>
      <c r="BF20" s="32">
        <f>20</f>
        <v>20</v>
      </c>
      <c r="BH20" s="12">
        <f>G20*AO20</f>
        <v>0</v>
      </c>
      <c r="BI20" s="12">
        <f>G20*AP20</f>
        <v>0</v>
      </c>
      <c r="BJ20" s="12">
        <f>G20*H20</f>
        <v>0</v>
      </c>
    </row>
    <row r="21" spans="1:62" x14ac:dyDescent="0.25">
      <c r="A21" s="136" t="s">
        <v>13</v>
      </c>
      <c r="B21" s="136" t="s">
        <v>200</v>
      </c>
      <c r="C21" s="220" t="s">
        <v>411</v>
      </c>
      <c r="D21" s="221"/>
      <c r="E21" s="222"/>
      <c r="F21" s="136" t="s">
        <v>627</v>
      </c>
      <c r="G21" s="88">
        <v>22.382000000000001</v>
      </c>
      <c r="H21" s="17">
        <v>0</v>
      </c>
      <c r="I21" s="89">
        <f>G21*AO21</f>
        <v>0</v>
      </c>
      <c r="J21" s="89">
        <f>G21*AP21</f>
        <v>0</v>
      </c>
      <c r="K21" s="89">
        <f>G21*H21</f>
        <v>0</v>
      </c>
      <c r="L21" s="90">
        <f>IF(K264=0,0,K21/K264)</f>
        <v>0</v>
      </c>
      <c r="M21" s="91"/>
      <c r="Z21" s="32">
        <f>IF(AQ21="5",BJ21,0)</f>
        <v>0</v>
      </c>
      <c r="AB21" s="32">
        <f>IF(AQ21="1",BH21,0)</f>
        <v>0</v>
      </c>
      <c r="AC21" s="32">
        <f>IF(AQ21="1",BI21,0)</f>
        <v>0</v>
      </c>
      <c r="AD21" s="32">
        <f>IF(AQ21="7",BH21,0)</f>
        <v>0</v>
      </c>
      <c r="AE21" s="32">
        <f>IF(AQ21="7",BI21,0)</f>
        <v>0</v>
      </c>
      <c r="AF21" s="32">
        <f>IF(AQ21="2",BH21,0)</f>
        <v>0</v>
      </c>
      <c r="AG21" s="32">
        <f>IF(AQ21="2",BI21,0)</f>
        <v>0</v>
      </c>
      <c r="AH21" s="32">
        <f>IF(AQ21="0",BJ21,0)</f>
        <v>0</v>
      </c>
      <c r="AI21" s="28"/>
      <c r="AJ21" s="12">
        <f>IF(AN21=0,K21,0)</f>
        <v>0</v>
      </c>
      <c r="AK21" s="12">
        <f>IF(AN21=15,K21,0)</f>
        <v>0</v>
      </c>
      <c r="AL21" s="12">
        <f>IF(AN21=21,K21,0)</f>
        <v>0</v>
      </c>
      <c r="AN21" s="32">
        <v>21</v>
      </c>
      <c r="AO21" s="32">
        <f>H21*0.92104381882166</f>
        <v>0</v>
      </c>
      <c r="AP21" s="32">
        <f>H21*(1-0.92104381882166)</f>
        <v>0</v>
      </c>
      <c r="AQ21" s="27" t="s">
        <v>11</v>
      </c>
      <c r="AV21" s="32">
        <f>AW21+AX21</f>
        <v>0</v>
      </c>
      <c r="AW21" s="32">
        <f>G21*AO21</f>
        <v>0</v>
      </c>
      <c r="AX21" s="32">
        <f>G21*AP21</f>
        <v>0</v>
      </c>
      <c r="AY21" s="33" t="s">
        <v>669</v>
      </c>
      <c r="AZ21" s="33" t="s">
        <v>708</v>
      </c>
      <c r="BA21" s="28" t="s">
        <v>721</v>
      </c>
      <c r="BC21" s="32">
        <f>AW21+AX21</f>
        <v>0</v>
      </c>
      <c r="BD21" s="32">
        <f>H21/(100-BE21)*100</f>
        <v>0</v>
      </c>
      <c r="BE21" s="32">
        <v>0</v>
      </c>
      <c r="BF21" s="32">
        <f>21</f>
        <v>21</v>
      </c>
      <c r="BH21" s="12">
        <f>G21*AO21</f>
        <v>0</v>
      </c>
      <c r="BI21" s="12">
        <f>G21*AP21</f>
        <v>0</v>
      </c>
      <c r="BJ21" s="12">
        <f>G21*H21</f>
        <v>0</v>
      </c>
    </row>
    <row r="22" spans="1:62" x14ac:dyDescent="0.25">
      <c r="A22" s="137" t="s">
        <v>14</v>
      </c>
      <c r="B22" s="137" t="s">
        <v>201</v>
      </c>
      <c r="C22" s="223" t="s">
        <v>412</v>
      </c>
      <c r="D22" s="221"/>
      <c r="E22" s="224"/>
      <c r="F22" s="137" t="s">
        <v>626</v>
      </c>
      <c r="G22" s="92">
        <v>279.77999999999997</v>
      </c>
      <c r="H22" s="17">
        <v>0</v>
      </c>
      <c r="I22" s="93">
        <f>G22*AO22</f>
        <v>0</v>
      </c>
      <c r="J22" s="93">
        <f>G22*AP22</f>
        <v>0</v>
      </c>
      <c r="K22" s="93">
        <f>G22*H22</f>
        <v>0</v>
      </c>
      <c r="L22" s="94">
        <f>IF(K264=0,0,K22/K264)</f>
        <v>0</v>
      </c>
      <c r="M22" s="95" t="s">
        <v>657</v>
      </c>
      <c r="Z22" s="32">
        <f>IF(AQ22="5",BJ22,0)</f>
        <v>0</v>
      </c>
      <c r="AB22" s="32">
        <f>IF(AQ22="1",BH22,0)</f>
        <v>0</v>
      </c>
      <c r="AC22" s="32">
        <f>IF(AQ22="1",BI22,0)</f>
        <v>0</v>
      </c>
      <c r="AD22" s="32">
        <f>IF(AQ22="7",BH22,0)</f>
        <v>0</v>
      </c>
      <c r="AE22" s="32">
        <f>IF(AQ22="7",BI22,0)</f>
        <v>0</v>
      </c>
      <c r="AF22" s="32">
        <f>IF(AQ22="2",BH22,0)</f>
        <v>0</v>
      </c>
      <c r="AG22" s="32">
        <f>IF(AQ22="2",BI22,0)</f>
        <v>0</v>
      </c>
      <c r="AH22" s="32">
        <f>IF(AQ22="0",BJ22,0)</f>
        <v>0</v>
      </c>
      <c r="AI22" s="28"/>
      <c r="AJ22" s="12">
        <f>IF(AN22=0,K22,0)</f>
        <v>0</v>
      </c>
      <c r="AK22" s="12">
        <f>IF(AN22=15,K22,0)</f>
        <v>0</v>
      </c>
      <c r="AL22" s="12">
        <f>IF(AN22=21,K22,0)</f>
        <v>0</v>
      </c>
      <c r="AN22" s="32">
        <v>21</v>
      </c>
      <c r="AO22" s="32">
        <f>H22*0</f>
        <v>0</v>
      </c>
      <c r="AP22" s="32">
        <f>H22*(1-0)</f>
        <v>0</v>
      </c>
      <c r="AQ22" s="27" t="s">
        <v>7</v>
      </c>
      <c r="AV22" s="32">
        <f>AW22+AX22</f>
        <v>0</v>
      </c>
      <c r="AW22" s="32">
        <f>G22*AO22</f>
        <v>0</v>
      </c>
      <c r="AX22" s="32">
        <f>G22*AP22</f>
        <v>0</v>
      </c>
      <c r="AY22" s="33" t="s">
        <v>669</v>
      </c>
      <c r="AZ22" s="33" t="s">
        <v>708</v>
      </c>
      <c r="BA22" s="28" t="s">
        <v>721</v>
      </c>
      <c r="BC22" s="32">
        <f>AW22+AX22</f>
        <v>0</v>
      </c>
      <c r="BD22" s="32">
        <f>H22/(100-BE22)*100</f>
        <v>0</v>
      </c>
      <c r="BE22" s="32">
        <v>0</v>
      </c>
      <c r="BF22" s="32">
        <f>22</f>
        <v>22</v>
      </c>
      <c r="BH22" s="12">
        <f>G22*AO22</f>
        <v>0</v>
      </c>
      <c r="BI22" s="12">
        <f>G22*AP22</f>
        <v>0</v>
      </c>
      <c r="BJ22" s="12">
        <f>G22*H22</f>
        <v>0</v>
      </c>
    </row>
    <row r="23" spans="1:62" x14ac:dyDescent="0.25">
      <c r="A23" s="5"/>
      <c r="B23" s="133" t="s">
        <v>23</v>
      </c>
      <c r="C23" s="226" t="s">
        <v>413</v>
      </c>
      <c r="D23" s="227"/>
      <c r="E23" s="227"/>
      <c r="F23" s="5" t="s">
        <v>6</v>
      </c>
      <c r="G23" s="5" t="s">
        <v>6</v>
      </c>
      <c r="H23" s="18" t="s">
        <v>6</v>
      </c>
      <c r="I23" s="35">
        <f>SUM(I24:I27)</f>
        <v>0</v>
      </c>
      <c r="J23" s="35">
        <f>SUM(J24:J27)</f>
        <v>0</v>
      </c>
      <c r="K23" s="35">
        <f>SUM(K24:K27)</f>
        <v>0</v>
      </c>
      <c r="L23" s="38">
        <f>IF(K264=0,0,K23/K264)</f>
        <v>0</v>
      </c>
      <c r="M23" s="28"/>
      <c r="AI23" s="28"/>
      <c r="AS23" s="35">
        <f>SUM(AJ24:AJ27)</f>
        <v>0</v>
      </c>
      <c r="AT23" s="35">
        <f>SUM(AK24:AK27)</f>
        <v>0</v>
      </c>
      <c r="AU23" s="35">
        <f>SUM(AL24:AL27)</f>
        <v>0</v>
      </c>
    </row>
    <row r="24" spans="1:62" x14ac:dyDescent="0.25">
      <c r="A24" s="136" t="s">
        <v>15</v>
      </c>
      <c r="B24" s="136" t="s">
        <v>202</v>
      </c>
      <c r="C24" s="220" t="s">
        <v>414</v>
      </c>
      <c r="D24" s="221"/>
      <c r="E24" s="222"/>
      <c r="F24" s="136" t="s">
        <v>626</v>
      </c>
      <c r="G24" s="88">
        <v>9.7270000000000003</v>
      </c>
      <c r="H24" s="17">
        <v>0</v>
      </c>
      <c r="I24" s="89">
        <f>G24*AO24</f>
        <v>0</v>
      </c>
      <c r="J24" s="89">
        <f>G24*AP24</f>
        <v>0</v>
      </c>
      <c r="K24" s="89">
        <f>G24*H24</f>
        <v>0</v>
      </c>
      <c r="L24" s="90">
        <f>IF(K264=0,0,K24/K264)</f>
        <v>0</v>
      </c>
      <c r="M24" s="91" t="s">
        <v>657</v>
      </c>
      <c r="Z24" s="32">
        <f>IF(AQ24="5",BJ24,0)</f>
        <v>0</v>
      </c>
      <c r="AB24" s="32">
        <f>IF(AQ24="1",BH24,0)</f>
        <v>0</v>
      </c>
      <c r="AC24" s="32">
        <f>IF(AQ24="1",BI24,0)</f>
        <v>0</v>
      </c>
      <c r="AD24" s="32">
        <f>IF(AQ24="7",BH24,0)</f>
        <v>0</v>
      </c>
      <c r="AE24" s="32">
        <f>IF(AQ24="7",BI24,0)</f>
        <v>0</v>
      </c>
      <c r="AF24" s="32">
        <f>IF(AQ24="2",BH24,0)</f>
        <v>0</v>
      </c>
      <c r="AG24" s="32">
        <f>IF(AQ24="2",BI24,0)</f>
        <v>0</v>
      </c>
      <c r="AH24" s="32">
        <f>IF(AQ24="0",BJ24,0)</f>
        <v>0</v>
      </c>
      <c r="AI24" s="28"/>
      <c r="AJ24" s="12">
        <f>IF(AN24=0,K24,0)</f>
        <v>0</v>
      </c>
      <c r="AK24" s="12">
        <f>IF(AN24=15,K24,0)</f>
        <v>0</v>
      </c>
      <c r="AL24" s="12">
        <f>IF(AN24=21,K24,0)</f>
        <v>0</v>
      </c>
      <c r="AN24" s="32">
        <v>21</v>
      </c>
      <c r="AO24" s="32">
        <f>H24*0</f>
        <v>0</v>
      </c>
      <c r="AP24" s="32">
        <f>H24*(1-0)</f>
        <v>0</v>
      </c>
      <c r="AQ24" s="27" t="s">
        <v>7</v>
      </c>
      <c r="AV24" s="32">
        <f>AW24+AX24</f>
        <v>0</v>
      </c>
      <c r="AW24" s="32">
        <f>G24*AO24</f>
        <v>0</v>
      </c>
      <c r="AX24" s="32">
        <f>G24*AP24</f>
        <v>0</v>
      </c>
      <c r="AY24" s="33" t="s">
        <v>670</v>
      </c>
      <c r="AZ24" s="33" t="s">
        <v>708</v>
      </c>
      <c r="BA24" s="28" t="s">
        <v>721</v>
      </c>
      <c r="BC24" s="32">
        <f>AW24+AX24</f>
        <v>0</v>
      </c>
      <c r="BD24" s="32">
        <f>H24/(100-BE24)*100</f>
        <v>0</v>
      </c>
      <c r="BE24" s="32">
        <v>0</v>
      </c>
      <c r="BF24" s="32">
        <f>24</f>
        <v>24</v>
      </c>
      <c r="BH24" s="12">
        <f>G24*AO24</f>
        <v>0</v>
      </c>
      <c r="BI24" s="12">
        <f>G24*AP24</f>
        <v>0</v>
      </c>
      <c r="BJ24" s="12">
        <f>G24*H24</f>
        <v>0</v>
      </c>
    </row>
    <row r="25" spans="1:62" x14ac:dyDescent="0.25">
      <c r="A25" s="137" t="s">
        <v>16</v>
      </c>
      <c r="B25" s="137" t="s">
        <v>203</v>
      </c>
      <c r="C25" s="223" t="s">
        <v>415</v>
      </c>
      <c r="D25" s="221"/>
      <c r="E25" s="224"/>
      <c r="F25" s="137" t="s">
        <v>626</v>
      </c>
      <c r="G25" s="92">
        <v>0.72</v>
      </c>
      <c r="H25" s="17">
        <v>0</v>
      </c>
      <c r="I25" s="93">
        <f>G25*AO25</f>
        <v>0</v>
      </c>
      <c r="J25" s="93">
        <f>G25*AP25</f>
        <v>0</v>
      </c>
      <c r="K25" s="93">
        <f>G25*H25</f>
        <v>0</v>
      </c>
      <c r="L25" s="94">
        <f>IF(K264=0,0,K25/K264)</f>
        <v>0</v>
      </c>
      <c r="M25" s="95" t="s">
        <v>657</v>
      </c>
      <c r="Z25" s="32">
        <f>IF(AQ25="5",BJ25,0)</f>
        <v>0</v>
      </c>
      <c r="AB25" s="32">
        <f>IF(AQ25="1",BH25,0)</f>
        <v>0</v>
      </c>
      <c r="AC25" s="32">
        <f>IF(AQ25="1",BI25,0)</f>
        <v>0</v>
      </c>
      <c r="AD25" s="32">
        <f>IF(AQ25="7",BH25,0)</f>
        <v>0</v>
      </c>
      <c r="AE25" s="32">
        <f>IF(AQ25="7",BI25,0)</f>
        <v>0</v>
      </c>
      <c r="AF25" s="32">
        <f>IF(AQ25="2",BH25,0)</f>
        <v>0</v>
      </c>
      <c r="AG25" s="32">
        <f>IF(AQ25="2",BI25,0)</f>
        <v>0</v>
      </c>
      <c r="AH25" s="32">
        <f>IF(AQ25="0",BJ25,0)</f>
        <v>0</v>
      </c>
      <c r="AI25" s="28"/>
      <c r="AJ25" s="12">
        <f>IF(AN25=0,K25,0)</f>
        <v>0</v>
      </c>
      <c r="AK25" s="12">
        <f>IF(AN25=15,K25,0)</f>
        <v>0</v>
      </c>
      <c r="AL25" s="12">
        <f>IF(AN25=21,K25,0)</f>
        <v>0</v>
      </c>
      <c r="AN25" s="32">
        <v>21</v>
      </c>
      <c r="AO25" s="32">
        <f>H25*0.507543147208122</f>
        <v>0</v>
      </c>
      <c r="AP25" s="32">
        <f>H25*(1-0.507543147208122)</f>
        <v>0</v>
      </c>
      <c r="AQ25" s="27" t="s">
        <v>7</v>
      </c>
      <c r="AV25" s="32">
        <f>AW25+AX25</f>
        <v>0</v>
      </c>
      <c r="AW25" s="32">
        <f>G25*AO25</f>
        <v>0</v>
      </c>
      <c r="AX25" s="32">
        <f>G25*AP25</f>
        <v>0</v>
      </c>
      <c r="AY25" s="33" t="s">
        <v>670</v>
      </c>
      <c r="AZ25" s="33" t="s">
        <v>708</v>
      </c>
      <c r="BA25" s="28" t="s">
        <v>721</v>
      </c>
      <c r="BC25" s="32">
        <f>AW25+AX25</f>
        <v>0</v>
      </c>
      <c r="BD25" s="32">
        <f>H25/(100-BE25)*100</f>
        <v>0</v>
      </c>
      <c r="BE25" s="32">
        <v>0</v>
      </c>
      <c r="BF25" s="32">
        <f>25</f>
        <v>25</v>
      </c>
      <c r="BH25" s="12">
        <f>G25*AO25</f>
        <v>0</v>
      </c>
      <c r="BI25" s="12">
        <f>G25*AP25</f>
        <v>0</v>
      </c>
      <c r="BJ25" s="12">
        <f>G25*H25</f>
        <v>0</v>
      </c>
    </row>
    <row r="26" spans="1:62" x14ac:dyDescent="0.25">
      <c r="A26" s="280"/>
      <c r="B26" s="280"/>
      <c r="C26" s="228" t="s">
        <v>416</v>
      </c>
      <c r="D26" s="229"/>
      <c r="E26" s="229"/>
      <c r="F26" s="280"/>
      <c r="G26" s="280"/>
      <c r="H26" s="1"/>
      <c r="I26" s="280"/>
      <c r="J26" s="280"/>
      <c r="K26" s="280"/>
      <c r="L26" s="280"/>
      <c r="M26" s="280"/>
    </row>
    <row r="27" spans="1:62" x14ac:dyDescent="0.25">
      <c r="A27" s="138" t="s">
        <v>17</v>
      </c>
      <c r="B27" s="138" t="s">
        <v>204</v>
      </c>
      <c r="C27" s="230" t="s">
        <v>1117</v>
      </c>
      <c r="D27" s="231"/>
      <c r="E27" s="232"/>
      <c r="F27" s="138" t="s">
        <v>627</v>
      </c>
      <c r="G27" s="97">
        <v>3.84</v>
      </c>
      <c r="H27" s="101">
        <v>0</v>
      </c>
      <c r="I27" s="98">
        <f>G27*AO27</f>
        <v>0</v>
      </c>
      <c r="J27" s="98">
        <f>G27*AP27</f>
        <v>0</v>
      </c>
      <c r="K27" s="98">
        <f>G27*H27</f>
        <v>0</v>
      </c>
      <c r="L27" s="99">
        <f>IF(K264=0,0,K27/K264)</f>
        <v>0</v>
      </c>
      <c r="M27" s="100" t="s">
        <v>657</v>
      </c>
      <c r="Z27" s="32">
        <f>IF(AQ27="5",BJ27,0)</f>
        <v>0</v>
      </c>
      <c r="AB27" s="32">
        <f>IF(AQ27="1",BH27,0)</f>
        <v>0</v>
      </c>
      <c r="AC27" s="32">
        <f>IF(AQ27="1",BI27,0)</f>
        <v>0</v>
      </c>
      <c r="AD27" s="32">
        <f>IF(AQ27="7",BH27,0)</f>
        <v>0</v>
      </c>
      <c r="AE27" s="32">
        <f>IF(AQ27="7",BI27,0)</f>
        <v>0</v>
      </c>
      <c r="AF27" s="32">
        <f>IF(AQ27="2",BH27,0)</f>
        <v>0</v>
      </c>
      <c r="AG27" s="32">
        <f>IF(AQ27="2",BI27,0)</f>
        <v>0</v>
      </c>
      <c r="AH27" s="32">
        <f>IF(AQ27="0",BJ27,0)</f>
        <v>0</v>
      </c>
      <c r="AI27" s="28"/>
      <c r="AJ27" s="13">
        <f>IF(AN27=0,K27,0)</f>
        <v>0</v>
      </c>
      <c r="AK27" s="13">
        <f>IF(AN27=15,K27,0)</f>
        <v>0</v>
      </c>
      <c r="AL27" s="13">
        <f>IF(AN27=21,K27,0)</f>
        <v>0</v>
      </c>
      <c r="AN27" s="32">
        <v>21</v>
      </c>
      <c r="AO27" s="32">
        <f>H27*1</f>
        <v>0</v>
      </c>
      <c r="AP27" s="32">
        <f>H27*(1-1)</f>
        <v>0</v>
      </c>
      <c r="AQ27" s="29" t="s">
        <v>7</v>
      </c>
      <c r="AV27" s="32">
        <f>AW27+AX27</f>
        <v>0</v>
      </c>
      <c r="AW27" s="32">
        <f>G27*AO27</f>
        <v>0</v>
      </c>
      <c r="AX27" s="32">
        <f>G27*AP27</f>
        <v>0</v>
      </c>
      <c r="AY27" s="33" t="s">
        <v>670</v>
      </c>
      <c r="AZ27" s="33" t="s">
        <v>708</v>
      </c>
      <c r="BA27" s="28" t="s">
        <v>721</v>
      </c>
      <c r="BC27" s="32">
        <f>AW27+AX27</f>
        <v>0</v>
      </c>
      <c r="BD27" s="32">
        <f>H27/(100-BE27)*100</f>
        <v>0</v>
      </c>
      <c r="BE27" s="32">
        <v>0</v>
      </c>
      <c r="BF27" s="32">
        <f>27</f>
        <v>27</v>
      </c>
      <c r="BH27" s="13">
        <f>G27*AO27</f>
        <v>0</v>
      </c>
      <c r="BI27" s="13">
        <f>G27*AP27</f>
        <v>0</v>
      </c>
      <c r="BJ27" s="13">
        <f>G27*H27</f>
        <v>0</v>
      </c>
    </row>
    <row r="28" spans="1:62" x14ac:dyDescent="0.25">
      <c r="A28" s="5"/>
      <c r="B28" s="133" t="s">
        <v>33</v>
      </c>
      <c r="C28" s="226" t="s">
        <v>417</v>
      </c>
      <c r="D28" s="227"/>
      <c r="E28" s="227"/>
      <c r="F28" s="5" t="s">
        <v>6</v>
      </c>
      <c r="G28" s="5" t="s">
        <v>6</v>
      </c>
      <c r="H28" s="18" t="s">
        <v>6</v>
      </c>
      <c r="I28" s="35">
        <f>SUM(I29:I32)</f>
        <v>0</v>
      </c>
      <c r="J28" s="35">
        <f>SUM(J29:J32)</f>
        <v>0</v>
      </c>
      <c r="K28" s="35">
        <f>SUM(K29:K32)</f>
        <v>0</v>
      </c>
      <c r="L28" s="38">
        <f>IF(K264=0,0,K28/K264)</f>
        <v>0</v>
      </c>
      <c r="M28" s="28"/>
      <c r="AI28" s="28"/>
      <c r="AS28" s="35">
        <f>SUM(AJ29:AJ32)</f>
        <v>0</v>
      </c>
      <c r="AT28" s="35">
        <f>SUM(AK29:AK32)</f>
        <v>0</v>
      </c>
      <c r="AU28" s="35">
        <f>SUM(AL29:AL32)</f>
        <v>0</v>
      </c>
    </row>
    <row r="29" spans="1:62" x14ac:dyDescent="0.25">
      <c r="A29" s="132" t="s">
        <v>18</v>
      </c>
      <c r="B29" s="132" t="s">
        <v>205</v>
      </c>
      <c r="C29" s="225" t="s">
        <v>418</v>
      </c>
      <c r="D29" s="221"/>
      <c r="E29" s="221"/>
      <c r="F29" s="132" t="s">
        <v>626</v>
      </c>
      <c r="G29" s="77">
        <v>1.35</v>
      </c>
      <c r="H29" s="17">
        <v>0</v>
      </c>
      <c r="I29" s="12">
        <f>G29*AO29</f>
        <v>0</v>
      </c>
      <c r="J29" s="12">
        <f>G29*AP29</f>
        <v>0</v>
      </c>
      <c r="K29" s="12">
        <f>G29*H29</f>
        <v>0</v>
      </c>
      <c r="L29" s="37">
        <f>IF(K264=0,0,K29/K264)</f>
        <v>0</v>
      </c>
      <c r="M29" s="27" t="s">
        <v>657</v>
      </c>
      <c r="Z29" s="32">
        <f>IF(AQ29="5",BJ29,0)</f>
        <v>0</v>
      </c>
      <c r="AB29" s="32">
        <f>IF(AQ29="1",BH29,0)</f>
        <v>0</v>
      </c>
      <c r="AC29" s="32">
        <f>IF(AQ29="1",BI29,0)</f>
        <v>0</v>
      </c>
      <c r="AD29" s="32">
        <f>IF(AQ29="7",BH29,0)</f>
        <v>0</v>
      </c>
      <c r="AE29" s="32">
        <f>IF(AQ29="7",BI29,0)</f>
        <v>0</v>
      </c>
      <c r="AF29" s="32">
        <f>IF(AQ29="2",BH29,0)</f>
        <v>0</v>
      </c>
      <c r="AG29" s="32">
        <f>IF(AQ29="2",BI29,0)</f>
        <v>0</v>
      </c>
      <c r="AH29" s="32">
        <f>IF(AQ29="0",BJ29,0)</f>
        <v>0</v>
      </c>
      <c r="AI29" s="28"/>
      <c r="AJ29" s="12">
        <f>IF(AN29=0,K29,0)</f>
        <v>0</v>
      </c>
      <c r="AK29" s="12">
        <f>IF(AN29=15,K29,0)</f>
        <v>0</v>
      </c>
      <c r="AL29" s="12">
        <f>IF(AN29=21,K29,0)</f>
        <v>0</v>
      </c>
      <c r="AN29" s="32">
        <v>21</v>
      </c>
      <c r="AO29" s="32">
        <f>H29*0.617797884187082</f>
        <v>0</v>
      </c>
      <c r="AP29" s="32">
        <f>H29*(1-0.617797884187082)</f>
        <v>0</v>
      </c>
      <c r="AQ29" s="27" t="s">
        <v>7</v>
      </c>
      <c r="AV29" s="32">
        <f>AW29+AX29</f>
        <v>0</v>
      </c>
      <c r="AW29" s="32">
        <f>G29*AO29</f>
        <v>0</v>
      </c>
      <c r="AX29" s="32">
        <f>G29*AP29</f>
        <v>0</v>
      </c>
      <c r="AY29" s="33" t="s">
        <v>671</v>
      </c>
      <c r="AZ29" s="33" t="s">
        <v>709</v>
      </c>
      <c r="BA29" s="28" t="s">
        <v>721</v>
      </c>
      <c r="BC29" s="32">
        <f>AW29+AX29</f>
        <v>0</v>
      </c>
      <c r="BD29" s="32">
        <f>H29/(100-BE29)*100</f>
        <v>0</v>
      </c>
      <c r="BE29" s="32">
        <v>0</v>
      </c>
      <c r="BF29" s="32">
        <f>29</f>
        <v>29</v>
      </c>
      <c r="BH29" s="12">
        <f>G29*AO29</f>
        <v>0</v>
      </c>
      <c r="BI29" s="12">
        <f>G29*AP29</f>
        <v>0</v>
      </c>
      <c r="BJ29" s="12">
        <f>G29*H29</f>
        <v>0</v>
      </c>
    </row>
    <row r="30" spans="1:62" x14ac:dyDescent="0.25">
      <c r="A30" s="274"/>
      <c r="B30" s="274"/>
      <c r="C30" s="228" t="s">
        <v>419</v>
      </c>
      <c r="D30" s="229"/>
      <c r="E30" s="229"/>
      <c r="F30" s="274"/>
      <c r="G30" s="274"/>
      <c r="H30" s="19"/>
      <c r="I30" s="274"/>
      <c r="J30" s="274"/>
      <c r="K30" s="274"/>
      <c r="L30" s="274"/>
      <c r="M30" s="274"/>
    </row>
    <row r="31" spans="1:62" x14ac:dyDescent="0.25">
      <c r="A31" s="132" t="s">
        <v>19</v>
      </c>
      <c r="B31" s="132" t="s">
        <v>206</v>
      </c>
      <c r="C31" s="225" t="s">
        <v>420</v>
      </c>
      <c r="D31" s="221"/>
      <c r="E31" s="221"/>
      <c r="F31" s="132" t="s">
        <v>626</v>
      </c>
      <c r="G31" s="77">
        <v>1.8</v>
      </c>
      <c r="H31" s="17">
        <v>0</v>
      </c>
      <c r="I31" s="12">
        <f>G31*AO31</f>
        <v>0</v>
      </c>
      <c r="J31" s="12">
        <f>G31*AP31</f>
        <v>0</v>
      </c>
      <c r="K31" s="12">
        <f>G31*H31</f>
        <v>0</v>
      </c>
      <c r="L31" s="37">
        <f>IF(K264=0,0,K31/K264)</f>
        <v>0</v>
      </c>
      <c r="M31" s="27" t="s">
        <v>657</v>
      </c>
      <c r="Z31" s="32">
        <f>IF(AQ31="5",BJ31,0)</f>
        <v>0</v>
      </c>
      <c r="AB31" s="32">
        <f>IF(AQ31="1",BH31,0)</f>
        <v>0</v>
      </c>
      <c r="AC31" s="32">
        <f>IF(AQ31="1",BI31,0)</f>
        <v>0</v>
      </c>
      <c r="AD31" s="32">
        <f>IF(AQ31="7",BH31,0)</f>
        <v>0</v>
      </c>
      <c r="AE31" s="32">
        <f>IF(AQ31="7",BI31,0)</f>
        <v>0</v>
      </c>
      <c r="AF31" s="32">
        <f>IF(AQ31="2",BH31,0)</f>
        <v>0</v>
      </c>
      <c r="AG31" s="32">
        <f>IF(AQ31="2",BI31,0)</f>
        <v>0</v>
      </c>
      <c r="AH31" s="32">
        <f>IF(AQ31="0",BJ31,0)</f>
        <v>0</v>
      </c>
      <c r="AI31" s="28"/>
      <c r="AJ31" s="12">
        <f>IF(AN31=0,K31,0)</f>
        <v>0</v>
      </c>
      <c r="AK31" s="12">
        <f>IF(AN31=15,K31,0)</f>
        <v>0</v>
      </c>
      <c r="AL31" s="12">
        <f>IF(AN31=21,K31,0)</f>
        <v>0</v>
      </c>
      <c r="AN31" s="32">
        <v>21</v>
      </c>
      <c r="AO31" s="32">
        <f>H31*0.893775898520085</f>
        <v>0</v>
      </c>
      <c r="AP31" s="32">
        <f>H31*(1-0.893775898520085)</f>
        <v>0</v>
      </c>
      <c r="AQ31" s="27" t="s">
        <v>7</v>
      </c>
      <c r="AV31" s="32">
        <f>AW31+AX31</f>
        <v>0</v>
      </c>
      <c r="AW31" s="32">
        <f>G31*AO31</f>
        <v>0</v>
      </c>
      <c r="AX31" s="32">
        <f>G31*AP31</f>
        <v>0</v>
      </c>
      <c r="AY31" s="33" t="s">
        <v>671</v>
      </c>
      <c r="AZ31" s="33" t="s">
        <v>709</v>
      </c>
      <c r="BA31" s="28" t="s">
        <v>721</v>
      </c>
      <c r="BC31" s="32">
        <f>AW31+AX31</f>
        <v>0</v>
      </c>
      <c r="BD31" s="32">
        <f>H31/(100-BE31)*100</f>
        <v>0</v>
      </c>
      <c r="BE31" s="32">
        <v>0</v>
      </c>
      <c r="BF31" s="32">
        <f>31</f>
        <v>31</v>
      </c>
      <c r="BH31" s="12">
        <f>G31*AO31</f>
        <v>0</v>
      </c>
      <c r="BI31" s="12">
        <f>G31*AP31</f>
        <v>0</v>
      </c>
      <c r="BJ31" s="12">
        <f>G31*H31</f>
        <v>0</v>
      </c>
    </row>
    <row r="32" spans="1:62" x14ac:dyDescent="0.25">
      <c r="A32" s="132" t="s">
        <v>20</v>
      </c>
      <c r="B32" s="132" t="s">
        <v>207</v>
      </c>
      <c r="C32" s="225" t="s">
        <v>421</v>
      </c>
      <c r="D32" s="221"/>
      <c r="E32" s="221"/>
      <c r="F32" s="132" t="s">
        <v>625</v>
      </c>
      <c r="G32" s="77">
        <v>0.75</v>
      </c>
      <c r="H32" s="17">
        <v>0</v>
      </c>
      <c r="I32" s="12">
        <f>G32*AO32</f>
        <v>0</v>
      </c>
      <c r="J32" s="12">
        <f>G32*AP32</f>
        <v>0</v>
      </c>
      <c r="K32" s="12">
        <f>G32*H32</f>
        <v>0</v>
      </c>
      <c r="L32" s="37">
        <f>IF(K264=0,0,K32/K264)</f>
        <v>0</v>
      </c>
      <c r="M32" s="27" t="s">
        <v>657</v>
      </c>
      <c r="Z32" s="32">
        <f>IF(AQ32="5",BJ32,0)</f>
        <v>0</v>
      </c>
      <c r="AB32" s="32">
        <f>IF(AQ32="1",BH32,0)</f>
        <v>0</v>
      </c>
      <c r="AC32" s="32">
        <f>IF(AQ32="1",BI32,0)</f>
        <v>0</v>
      </c>
      <c r="AD32" s="32">
        <f>IF(AQ32="7",BH32,0)</f>
        <v>0</v>
      </c>
      <c r="AE32" s="32">
        <f>IF(AQ32="7",BI32,0)</f>
        <v>0</v>
      </c>
      <c r="AF32" s="32">
        <f>IF(AQ32="2",BH32,0)</f>
        <v>0</v>
      </c>
      <c r="AG32" s="32">
        <f>IF(AQ32="2",BI32,0)</f>
        <v>0</v>
      </c>
      <c r="AH32" s="32">
        <f>IF(AQ32="0",BJ32,0)</f>
        <v>0</v>
      </c>
      <c r="AI32" s="28"/>
      <c r="AJ32" s="12">
        <f>IF(AN32=0,K32,0)</f>
        <v>0</v>
      </c>
      <c r="AK32" s="12">
        <f>IF(AN32=15,K32,0)</f>
        <v>0</v>
      </c>
      <c r="AL32" s="12">
        <f>IF(AN32=21,K32,0)</f>
        <v>0</v>
      </c>
      <c r="AN32" s="32">
        <v>21</v>
      </c>
      <c r="AO32" s="32">
        <f>H32*0.521119627703258</f>
        <v>0</v>
      </c>
      <c r="AP32" s="32">
        <f>H32*(1-0.521119627703258)</f>
        <v>0</v>
      </c>
      <c r="AQ32" s="27" t="s">
        <v>7</v>
      </c>
      <c r="AV32" s="32">
        <f>AW32+AX32</f>
        <v>0</v>
      </c>
      <c r="AW32" s="32">
        <f>G32*AO32</f>
        <v>0</v>
      </c>
      <c r="AX32" s="32">
        <f>G32*AP32</f>
        <v>0</v>
      </c>
      <c r="AY32" s="33" t="s">
        <v>671</v>
      </c>
      <c r="AZ32" s="33" t="s">
        <v>709</v>
      </c>
      <c r="BA32" s="28" t="s">
        <v>721</v>
      </c>
      <c r="BC32" s="32">
        <f>AW32+AX32</f>
        <v>0</v>
      </c>
      <c r="BD32" s="32">
        <f>H32/(100-BE32)*100</f>
        <v>0</v>
      </c>
      <c r="BE32" s="32">
        <v>0</v>
      </c>
      <c r="BF32" s="32">
        <f>32</f>
        <v>32</v>
      </c>
      <c r="BH32" s="12">
        <f>G32*AO32</f>
        <v>0</v>
      </c>
      <c r="BI32" s="12">
        <f>G32*AP32</f>
        <v>0</v>
      </c>
      <c r="BJ32" s="12">
        <f>G32*H32</f>
        <v>0</v>
      </c>
    </row>
    <row r="33" spans="1:62" x14ac:dyDescent="0.25">
      <c r="A33" s="5"/>
      <c r="B33" s="133" t="s">
        <v>35</v>
      </c>
      <c r="C33" s="226" t="s">
        <v>422</v>
      </c>
      <c r="D33" s="227"/>
      <c r="E33" s="227"/>
      <c r="F33" s="5" t="s">
        <v>6</v>
      </c>
      <c r="G33" s="5" t="s">
        <v>6</v>
      </c>
      <c r="H33" s="18" t="s">
        <v>6</v>
      </c>
      <c r="I33" s="35">
        <f>SUM(I34:I41)</f>
        <v>0</v>
      </c>
      <c r="J33" s="35">
        <f>SUM(J34:J41)</f>
        <v>0</v>
      </c>
      <c r="K33" s="35">
        <f>SUM(K34:K41)</f>
        <v>0</v>
      </c>
      <c r="L33" s="38">
        <f>IF(K264=0,0,K33/K264)</f>
        <v>0</v>
      </c>
      <c r="M33" s="28"/>
      <c r="AI33" s="28"/>
      <c r="AS33" s="35">
        <f>SUM(AJ34:AJ41)</f>
        <v>0</v>
      </c>
      <c r="AT33" s="35">
        <f>SUM(AK34:AK41)</f>
        <v>0</v>
      </c>
      <c r="AU33" s="35">
        <f>SUM(AL34:AL41)</f>
        <v>0</v>
      </c>
    </row>
    <row r="34" spans="1:62" x14ac:dyDescent="0.25">
      <c r="A34" s="132" t="s">
        <v>21</v>
      </c>
      <c r="B34" s="132" t="s">
        <v>208</v>
      </c>
      <c r="C34" s="225" t="s">
        <v>1118</v>
      </c>
      <c r="D34" s="221"/>
      <c r="E34" s="221"/>
      <c r="F34" s="132" t="s">
        <v>626</v>
      </c>
      <c r="G34" s="77">
        <v>1.05</v>
      </c>
      <c r="H34" s="17">
        <v>0</v>
      </c>
      <c r="I34" s="12">
        <f>G34*AO34</f>
        <v>0</v>
      </c>
      <c r="J34" s="12">
        <f>G34*AP34</f>
        <v>0</v>
      </c>
      <c r="K34" s="12">
        <f>G34*H34</f>
        <v>0</v>
      </c>
      <c r="L34" s="37">
        <f>IF(K264=0,0,K34/K264)</f>
        <v>0</v>
      </c>
      <c r="M34" s="27" t="s">
        <v>657</v>
      </c>
      <c r="Z34" s="32">
        <f>IF(AQ34="5",BJ34,0)</f>
        <v>0</v>
      </c>
      <c r="AB34" s="32">
        <f>IF(AQ34="1",BH34,0)</f>
        <v>0</v>
      </c>
      <c r="AC34" s="32">
        <f>IF(AQ34="1",BI34,0)</f>
        <v>0</v>
      </c>
      <c r="AD34" s="32">
        <f>IF(AQ34="7",BH34,0)</f>
        <v>0</v>
      </c>
      <c r="AE34" s="32">
        <f>IF(AQ34="7",BI34,0)</f>
        <v>0</v>
      </c>
      <c r="AF34" s="32">
        <f>IF(AQ34="2",BH34,0)</f>
        <v>0</v>
      </c>
      <c r="AG34" s="32">
        <f>IF(AQ34="2",BI34,0)</f>
        <v>0</v>
      </c>
      <c r="AH34" s="32">
        <f>IF(AQ34="0",BJ34,0)</f>
        <v>0</v>
      </c>
      <c r="AI34" s="28"/>
      <c r="AJ34" s="12">
        <f>IF(AN34=0,K34,0)</f>
        <v>0</v>
      </c>
      <c r="AK34" s="12">
        <f>IF(AN34=15,K34,0)</f>
        <v>0</v>
      </c>
      <c r="AL34" s="12">
        <f>IF(AN34=21,K34,0)</f>
        <v>0</v>
      </c>
      <c r="AN34" s="32">
        <v>21</v>
      </c>
      <c r="AO34" s="32">
        <f>H34*0.618648121940468</f>
        <v>0</v>
      </c>
      <c r="AP34" s="32">
        <f>H34*(1-0.618648121940468)</f>
        <v>0</v>
      </c>
      <c r="AQ34" s="27" t="s">
        <v>7</v>
      </c>
      <c r="AV34" s="32">
        <f>AW34+AX34</f>
        <v>0</v>
      </c>
      <c r="AW34" s="32">
        <f>G34*AO34</f>
        <v>0</v>
      </c>
      <c r="AX34" s="32">
        <f>G34*AP34</f>
        <v>0</v>
      </c>
      <c r="AY34" s="33" t="s">
        <v>672</v>
      </c>
      <c r="AZ34" s="33" t="s">
        <v>710</v>
      </c>
      <c r="BA34" s="28" t="s">
        <v>721</v>
      </c>
      <c r="BC34" s="32">
        <f>AW34+AX34</f>
        <v>0</v>
      </c>
      <c r="BD34" s="32">
        <f>H34/(100-BE34)*100</f>
        <v>0</v>
      </c>
      <c r="BE34" s="32">
        <v>0</v>
      </c>
      <c r="BF34" s="32">
        <f>34</f>
        <v>34</v>
      </c>
      <c r="BH34" s="12">
        <f>G34*AO34</f>
        <v>0</v>
      </c>
      <c r="BI34" s="12">
        <f>G34*AP34</f>
        <v>0</v>
      </c>
      <c r="BJ34" s="12">
        <f>G34*H34</f>
        <v>0</v>
      </c>
    </row>
    <row r="35" spans="1:62" x14ac:dyDescent="0.25">
      <c r="A35" s="274"/>
      <c r="B35" s="274"/>
      <c r="C35" s="228" t="s">
        <v>423</v>
      </c>
      <c r="D35" s="229"/>
      <c r="E35" s="229"/>
      <c r="F35" s="274"/>
      <c r="G35" s="274"/>
      <c r="H35" s="19"/>
      <c r="I35" s="274"/>
      <c r="J35" s="274"/>
      <c r="K35" s="274"/>
      <c r="L35" s="274"/>
      <c r="M35" s="274"/>
    </row>
    <row r="36" spans="1:62" x14ac:dyDescent="0.25">
      <c r="A36" s="132" t="s">
        <v>22</v>
      </c>
      <c r="B36" s="132" t="s">
        <v>209</v>
      </c>
      <c r="C36" s="225" t="s">
        <v>1119</v>
      </c>
      <c r="D36" s="221"/>
      <c r="E36" s="221"/>
      <c r="F36" s="132" t="s">
        <v>626</v>
      </c>
      <c r="G36" s="77">
        <v>0.49399999999999999</v>
      </c>
      <c r="H36" s="17">
        <v>0</v>
      </c>
      <c r="I36" s="12">
        <f>G36*AO36</f>
        <v>0</v>
      </c>
      <c r="J36" s="12">
        <f>G36*AP36</f>
        <v>0</v>
      </c>
      <c r="K36" s="12">
        <f>G36*H36</f>
        <v>0</v>
      </c>
      <c r="L36" s="37">
        <f>IF(K264=0,0,K36/K264)</f>
        <v>0</v>
      </c>
      <c r="M36" s="27" t="s">
        <v>657</v>
      </c>
      <c r="Z36" s="32">
        <f>IF(AQ36="5",BJ36,0)</f>
        <v>0</v>
      </c>
      <c r="AB36" s="32">
        <f>IF(AQ36="1",BH36,0)</f>
        <v>0</v>
      </c>
      <c r="AC36" s="32">
        <f>IF(AQ36="1",BI36,0)</f>
        <v>0</v>
      </c>
      <c r="AD36" s="32">
        <f>IF(AQ36="7",BH36,0)</f>
        <v>0</v>
      </c>
      <c r="AE36" s="32">
        <f>IF(AQ36="7",BI36,0)</f>
        <v>0</v>
      </c>
      <c r="AF36" s="32">
        <f>IF(AQ36="2",BH36,0)</f>
        <v>0</v>
      </c>
      <c r="AG36" s="32">
        <f>IF(AQ36="2",BI36,0)</f>
        <v>0</v>
      </c>
      <c r="AH36" s="32">
        <f>IF(AQ36="0",BJ36,0)</f>
        <v>0</v>
      </c>
      <c r="AI36" s="28"/>
      <c r="AJ36" s="12">
        <f>IF(AN36=0,K36,0)</f>
        <v>0</v>
      </c>
      <c r="AK36" s="12">
        <f>IF(AN36=15,K36,0)</f>
        <v>0</v>
      </c>
      <c r="AL36" s="12">
        <f>IF(AN36=21,K36,0)</f>
        <v>0</v>
      </c>
      <c r="AN36" s="32">
        <v>21</v>
      </c>
      <c r="AO36" s="32">
        <f>H36*0.637423840720647</f>
        <v>0</v>
      </c>
      <c r="AP36" s="32">
        <f>H36*(1-0.637423840720647)</f>
        <v>0</v>
      </c>
      <c r="AQ36" s="27" t="s">
        <v>7</v>
      </c>
      <c r="AV36" s="32">
        <f>AW36+AX36</f>
        <v>0</v>
      </c>
      <c r="AW36" s="32">
        <f>G36*AO36</f>
        <v>0</v>
      </c>
      <c r="AX36" s="32">
        <f>G36*AP36</f>
        <v>0</v>
      </c>
      <c r="AY36" s="33" t="s">
        <v>672</v>
      </c>
      <c r="AZ36" s="33" t="s">
        <v>710</v>
      </c>
      <c r="BA36" s="28" t="s">
        <v>721</v>
      </c>
      <c r="BC36" s="32">
        <f>AW36+AX36</f>
        <v>0</v>
      </c>
      <c r="BD36" s="32">
        <f>H36/(100-BE36)*100</f>
        <v>0</v>
      </c>
      <c r="BE36" s="32">
        <v>0</v>
      </c>
      <c r="BF36" s="32">
        <f>36</f>
        <v>36</v>
      </c>
      <c r="BH36" s="12">
        <f>G36*AO36</f>
        <v>0</v>
      </c>
      <c r="BI36" s="12">
        <f>G36*AP36</f>
        <v>0</v>
      </c>
      <c r="BJ36" s="12">
        <f>G36*H36</f>
        <v>0</v>
      </c>
    </row>
    <row r="37" spans="1:62" x14ac:dyDescent="0.25">
      <c r="A37" s="274"/>
      <c r="B37" s="274"/>
      <c r="C37" s="228" t="s">
        <v>424</v>
      </c>
      <c r="D37" s="229"/>
      <c r="E37" s="229"/>
      <c r="F37" s="274"/>
      <c r="G37" s="274"/>
      <c r="H37" s="19"/>
      <c r="I37" s="274"/>
      <c r="J37" s="274"/>
      <c r="K37" s="274"/>
      <c r="L37" s="274"/>
      <c r="M37" s="274"/>
    </row>
    <row r="38" spans="1:62" x14ac:dyDescent="0.25">
      <c r="A38" s="132" t="s">
        <v>23</v>
      </c>
      <c r="B38" s="132" t="s">
        <v>210</v>
      </c>
      <c r="C38" s="225" t="s">
        <v>425</v>
      </c>
      <c r="D38" s="221"/>
      <c r="E38" s="221"/>
      <c r="F38" s="132" t="s">
        <v>626</v>
      </c>
      <c r="G38" s="77">
        <v>2.0739999999999998</v>
      </c>
      <c r="H38" s="17">
        <v>0</v>
      </c>
      <c r="I38" s="12">
        <f>G38*AO38</f>
        <v>0</v>
      </c>
      <c r="J38" s="12">
        <f>G38*AP38</f>
        <v>0</v>
      </c>
      <c r="K38" s="12">
        <f>G38*H38</f>
        <v>0</v>
      </c>
      <c r="L38" s="37">
        <f>IF(K264=0,0,K38/K264)</f>
        <v>0</v>
      </c>
      <c r="M38" s="27" t="s">
        <v>657</v>
      </c>
      <c r="Z38" s="32">
        <f>IF(AQ38="5",BJ38,0)</f>
        <v>0</v>
      </c>
      <c r="AB38" s="32">
        <f>IF(AQ38="1",BH38,0)</f>
        <v>0</v>
      </c>
      <c r="AC38" s="32">
        <f>IF(AQ38="1",BI38,0)</f>
        <v>0</v>
      </c>
      <c r="AD38" s="32">
        <f>IF(AQ38="7",BH38,0)</f>
        <v>0</v>
      </c>
      <c r="AE38" s="32">
        <f>IF(AQ38="7",BI38,0)</f>
        <v>0</v>
      </c>
      <c r="AF38" s="32">
        <f>IF(AQ38="2",BH38,0)</f>
        <v>0</v>
      </c>
      <c r="AG38" s="32">
        <f>IF(AQ38="2",BI38,0)</f>
        <v>0</v>
      </c>
      <c r="AH38" s="32">
        <f>IF(AQ38="0",BJ38,0)</f>
        <v>0</v>
      </c>
      <c r="AI38" s="28"/>
      <c r="AJ38" s="12">
        <f>IF(AN38=0,K38,0)</f>
        <v>0</v>
      </c>
      <c r="AK38" s="12">
        <f>IF(AN38=15,K38,0)</f>
        <v>0</v>
      </c>
      <c r="AL38" s="12">
        <f>IF(AN38=21,K38,0)</f>
        <v>0</v>
      </c>
      <c r="AN38" s="32">
        <v>21</v>
      </c>
      <c r="AO38" s="32">
        <f>H38*0.660859770114942</f>
        <v>0</v>
      </c>
      <c r="AP38" s="32">
        <f>H38*(1-0.660859770114942)</f>
        <v>0</v>
      </c>
      <c r="AQ38" s="27" t="s">
        <v>7</v>
      </c>
      <c r="AV38" s="32">
        <f>AW38+AX38</f>
        <v>0</v>
      </c>
      <c r="AW38" s="32">
        <f>G38*AO38</f>
        <v>0</v>
      </c>
      <c r="AX38" s="32">
        <f>G38*AP38</f>
        <v>0</v>
      </c>
      <c r="AY38" s="33" t="s">
        <v>672</v>
      </c>
      <c r="AZ38" s="33" t="s">
        <v>710</v>
      </c>
      <c r="BA38" s="28" t="s">
        <v>721</v>
      </c>
      <c r="BC38" s="32">
        <f>AW38+AX38</f>
        <v>0</v>
      </c>
      <c r="BD38" s="32">
        <f>H38/(100-BE38)*100</f>
        <v>0</v>
      </c>
      <c r="BE38" s="32">
        <v>0</v>
      </c>
      <c r="BF38" s="32">
        <f>38</f>
        <v>38</v>
      </c>
      <c r="BH38" s="12">
        <f>G38*AO38</f>
        <v>0</v>
      </c>
      <c r="BI38" s="12">
        <f>G38*AP38</f>
        <v>0</v>
      </c>
      <c r="BJ38" s="12">
        <f>G38*H38</f>
        <v>0</v>
      </c>
    </row>
    <row r="39" spans="1:62" x14ac:dyDescent="0.25">
      <c r="A39" s="132" t="s">
        <v>24</v>
      </c>
      <c r="B39" s="132" t="s">
        <v>211</v>
      </c>
      <c r="C39" s="225" t="s">
        <v>426</v>
      </c>
      <c r="D39" s="221"/>
      <c r="E39" s="221"/>
      <c r="F39" s="132" t="s">
        <v>628</v>
      </c>
      <c r="G39" s="77">
        <v>1</v>
      </c>
      <c r="H39" s="17">
        <v>0</v>
      </c>
      <c r="I39" s="12">
        <f>G39*AO39</f>
        <v>0</v>
      </c>
      <c r="J39" s="12">
        <f>G39*AP39</f>
        <v>0</v>
      </c>
      <c r="K39" s="12">
        <f>G39*H39</f>
        <v>0</v>
      </c>
      <c r="L39" s="37">
        <f>IF(K264=0,0,K39/K264)</f>
        <v>0</v>
      </c>
      <c r="M39" s="27" t="s">
        <v>657</v>
      </c>
      <c r="Z39" s="32">
        <f>IF(AQ39="5",BJ39,0)</f>
        <v>0</v>
      </c>
      <c r="AB39" s="32">
        <f>IF(AQ39="1",BH39,0)</f>
        <v>0</v>
      </c>
      <c r="AC39" s="32">
        <f>IF(AQ39="1",BI39,0)</f>
        <v>0</v>
      </c>
      <c r="AD39" s="32">
        <f>IF(AQ39="7",BH39,0)</f>
        <v>0</v>
      </c>
      <c r="AE39" s="32">
        <f>IF(AQ39="7",BI39,0)</f>
        <v>0</v>
      </c>
      <c r="AF39" s="32">
        <f>IF(AQ39="2",BH39,0)</f>
        <v>0</v>
      </c>
      <c r="AG39" s="32">
        <f>IF(AQ39="2",BI39,0)</f>
        <v>0</v>
      </c>
      <c r="AH39" s="32">
        <f>IF(AQ39="0",BJ39,0)</f>
        <v>0</v>
      </c>
      <c r="AI39" s="28"/>
      <c r="AJ39" s="12">
        <f>IF(AN39=0,K39,0)</f>
        <v>0</v>
      </c>
      <c r="AK39" s="12">
        <f>IF(AN39=15,K39,0)</f>
        <v>0</v>
      </c>
      <c r="AL39" s="12">
        <f>IF(AN39=21,K39,0)</f>
        <v>0</v>
      </c>
      <c r="AN39" s="32">
        <v>21</v>
      </c>
      <c r="AO39" s="32">
        <f>H39*0.331233974358974</f>
        <v>0</v>
      </c>
      <c r="AP39" s="32">
        <f>H39*(1-0.331233974358974)</f>
        <v>0</v>
      </c>
      <c r="AQ39" s="27" t="s">
        <v>7</v>
      </c>
      <c r="AV39" s="32">
        <f>AW39+AX39</f>
        <v>0</v>
      </c>
      <c r="AW39" s="32">
        <f>G39*AO39</f>
        <v>0</v>
      </c>
      <c r="AX39" s="32">
        <f>G39*AP39</f>
        <v>0</v>
      </c>
      <c r="AY39" s="33" t="s">
        <v>672</v>
      </c>
      <c r="AZ39" s="33" t="s">
        <v>710</v>
      </c>
      <c r="BA39" s="28" t="s">
        <v>721</v>
      </c>
      <c r="BC39" s="32">
        <f>AW39+AX39</f>
        <v>0</v>
      </c>
      <c r="BD39" s="32">
        <f>H39/(100-BE39)*100</f>
        <v>0</v>
      </c>
      <c r="BE39" s="32">
        <v>0</v>
      </c>
      <c r="BF39" s="32">
        <f>39</f>
        <v>39</v>
      </c>
      <c r="BH39" s="12">
        <f>G39*AO39</f>
        <v>0</v>
      </c>
      <c r="BI39" s="12">
        <f>G39*AP39</f>
        <v>0</v>
      </c>
      <c r="BJ39" s="12">
        <f>G39*H39</f>
        <v>0</v>
      </c>
    </row>
    <row r="40" spans="1:62" x14ac:dyDescent="0.25">
      <c r="A40" s="274"/>
      <c r="B40" s="274"/>
      <c r="C40" s="228" t="s">
        <v>427</v>
      </c>
      <c r="D40" s="229"/>
      <c r="E40" s="229"/>
      <c r="F40" s="274"/>
      <c r="G40" s="274"/>
      <c r="H40" s="19"/>
      <c r="I40" s="274"/>
      <c r="J40" s="274"/>
      <c r="K40" s="274"/>
      <c r="L40" s="274"/>
      <c r="M40" s="274"/>
    </row>
    <row r="41" spans="1:62" x14ac:dyDescent="0.25">
      <c r="A41" s="137" t="s">
        <v>25</v>
      </c>
      <c r="B41" s="137" t="s">
        <v>212</v>
      </c>
      <c r="C41" s="223" t="s">
        <v>428</v>
      </c>
      <c r="D41" s="221"/>
      <c r="E41" s="224"/>
      <c r="F41" s="137" t="s">
        <v>628</v>
      </c>
      <c r="G41" s="92">
        <v>2</v>
      </c>
      <c r="H41" s="17">
        <v>0</v>
      </c>
      <c r="I41" s="93">
        <f>G41*AO41</f>
        <v>0</v>
      </c>
      <c r="J41" s="93">
        <f>G41*AP41</f>
        <v>0</v>
      </c>
      <c r="K41" s="93">
        <f>G41*H41</f>
        <v>0</v>
      </c>
      <c r="L41" s="94">
        <f>IF(K264=0,0,K41/K264)</f>
        <v>0</v>
      </c>
      <c r="M41" s="95" t="s">
        <v>657</v>
      </c>
      <c r="Z41" s="32">
        <f>IF(AQ41="5",BJ41,0)</f>
        <v>0</v>
      </c>
      <c r="AB41" s="32">
        <f>IF(AQ41="1",BH41,0)</f>
        <v>0</v>
      </c>
      <c r="AC41" s="32">
        <f>IF(AQ41="1",BI41,0)</f>
        <v>0</v>
      </c>
      <c r="AD41" s="32">
        <f>IF(AQ41="7",BH41,0)</f>
        <v>0</v>
      </c>
      <c r="AE41" s="32">
        <f>IF(AQ41="7",BI41,0)</f>
        <v>0</v>
      </c>
      <c r="AF41" s="32">
        <f>IF(AQ41="2",BH41,0)</f>
        <v>0</v>
      </c>
      <c r="AG41" s="32">
        <f>IF(AQ41="2",BI41,0)</f>
        <v>0</v>
      </c>
      <c r="AH41" s="32">
        <f>IF(AQ41="0",BJ41,0)</f>
        <v>0</v>
      </c>
      <c r="AI41" s="28"/>
      <c r="AJ41" s="12">
        <f>IF(AN41=0,K41,0)</f>
        <v>0</v>
      </c>
      <c r="AK41" s="12">
        <f>IF(AN41=15,K41,0)</f>
        <v>0</v>
      </c>
      <c r="AL41" s="12">
        <f>IF(AN41=21,K41,0)</f>
        <v>0</v>
      </c>
      <c r="AN41" s="32">
        <v>21</v>
      </c>
      <c r="AO41" s="32">
        <f>H41*0.304567009324974</f>
        <v>0</v>
      </c>
      <c r="AP41" s="32">
        <f>H41*(1-0.304567009324974)</f>
        <v>0</v>
      </c>
      <c r="AQ41" s="27" t="s">
        <v>7</v>
      </c>
      <c r="AV41" s="32">
        <f>AW41+AX41</f>
        <v>0</v>
      </c>
      <c r="AW41" s="32">
        <f>G41*AO41</f>
        <v>0</v>
      </c>
      <c r="AX41" s="32">
        <f>G41*AP41</f>
        <v>0</v>
      </c>
      <c r="AY41" s="33" t="s">
        <v>672</v>
      </c>
      <c r="AZ41" s="33" t="s">
        <v>710</v>
      </c>
      <c r="BA41" s="28" t="s">
        <v>721</v>
      </c>
      <c r="BC41" s="32">
        <f>AW41+AX41</f>
        <v>0</v>
      </c>
      <c r="BD41" s="32">
        <f>H41/(100-BE41)*100</f>
        <v>0</v>
      </c>
      <c r="BE41" s="32">
        <v>0</v>
      </c>
      <c r="BF41" s="32">
        <f>41</f>
        <v>41</v>
      </c>
      <c r="BH41" s="12">
        <f>G41*AO41</f>
        <v>0</v>
      </c>
      <c r="BI41" s="12">
        <f>G41*AP41</f>
        <v>0</v>
      </c>
      <c r="BJ41" s="12">
        <f>G41*H41</f>
        <v>0</v>
      </c>
    </row>
    <row r="42" spans="1:62" x14ac:dyDescent="0.25">
      <c r="A42" s="274"/>
      <c r="B42" s="274"/>
      <c r="C42" s="228" t="s">
        <v>427</v>
      </c>
      <c r="D42" s="229"/>
      <c r="E42" s="229"/>
      <c r="F42" s="274"/>
      <c r="G42" s="274"/>
      <c r="H42" s="19"/>
      <c r="I42" s="274"/>
      <c r="J42" s="274"/>
      <c r="K42" s="274"/>
      <c r="L42" s="274"/>
      <c r="M42" s="274"/>
    </row>
    <row r="43" spans="1:62" x14ac:dyDescent="0.25">
      <c r="A43" s="5"/>
      <c r="B43" s="133" t="s">
        <v>45</v>
      </c>
      <c r="C43" s="226" t="s">
        <v>429</v>
      </c>
      <c r="D43" s="227"/>
      <c r="E43" s="227"/>
      <c r="F43" s="5" t="s">
        <v>6</v>
      </c>
      <c r="G43" s="5" t="s">
        <v>6</v>
      </c>
      <c r="H43" s="18" t="s">
        <v>6</v>
      </c>
      <c r="I43" s="35">
        <f>SUM(I44:I45)</f>
        <v>0</v>
      </c>
      <c r="J43" s="35">
        <f>SUM(J44:J45)</f>
        <v>0</v>
      </c>
      <c r="K43" s="35">
        <f>SUM(K44:K45)</f>
        <v>0</v>
      </c>
      <c r="L43" s="38">
        <f>IF(K264=0,0,K43/K264)</f>
        <v>0</v>
      </c>
      <c r="M43" s="28"/>
      <c r="AI43" s="28"/>
      <c r="AS43" s="35">
        <f>SUM(AJ44:AJ45)</f>
        <v>0</v>
      </c>
      <c r="AT43" s="35">
        <f>SUM(AK44:AK45)</f>
        <v>0</v>
      </c>
      <c r="AU43" s="35">
        <f>SUM(AL44:AL45)</f>
        <v>0</v>
      </c>
    </row>
    <row r="44" spans="1:62" x14ac:dyDescent="0.25">
      <c r="A44" s="132" t="s">
        <v>26</v>
      </c>
      <c r="B44" s="132" t="s">
        <v>213</v>
      </c>
      <c r="C44" s="225" t="s">
        <v>430</v>
      </c>
      <c r="D44" s="221"/>
      <c r="E44" s="221"/>
      <c r="F44" s="132" t="s">
        <v>625</v>
      </c>
      <c r="G44" s="77">
        <v>55.22</v>
      </c>
      <c r="H44" s="17">
        <v>0</v>
      </c>
      <c r="I44" s="12">
        <f>G44*AO44</f>
        <v>0</v>
      </c>
      <c r="J44" s="12">
        <f>G44*AP44</f>
        <v>0</v>
      </c>
      <c r="K44" s="12">
        <f>G44*H44</f>
        <v>0</v>
      </c>
      <c r="L44" s="37">
        <f>IF(K264=0,0,K44/K264)</f>
        <v>0</v>
      </c>
      <c r="M44" s="27" t="s">
        <v>657</v>
      </c>
      <c r="Z44" s="32">
        <f>IF(AQ44="5",BJ44,0)</f>
        <v>0</v>
      </c>
      <c r="AB44" s="32">
        <f>IF(AQ44="1",BH44,0)</f>
        <v>0</v>
      </c>
      <c r="AC44" s="32">
        <f>IF(AQ44="1",BI44,0)</f>
        <v>0</v>
      </c>
      <c r="AD44" s="32">
        <f>IF(AQ44="7",BH44,0)</f>
        <v>0</v>
      </c>
      <c r="AE44" s="32">
        <f>IF(AQ44="7",BI44,0)</f>
        <v>0</v>
      </c>
      <c r="AF44" s="32">
        <f>IF(AQ44="2",BH44,0)</f>
        <v>0</v>
      </c>
      <c r="AG44" s="32">
        <f>IF(AQ44="2",BI44,0)</f>
        <v>0</v>
      </c>
      <c r="AH44" s="32">
        <f>IF(AQ44="0",BJ44,0)</f>
        <v>0</v>
      </c>
      <c r="AI44" s="28"/>
      <c r="AJ44" s="12">
        <f>IF(AN44=0,K44,0)</f>
        <v>0</v>
      </c>
      <c r="AK44" s="12">
        <f>IF(AN44=15,K44,0)</f>
        <v>0</v>
      </c>
      <c r="AL44" s="12">
        <f>IF(AN44=21,K44,0)</f>
        <v>0</v>
      </c>
      <c r="AN44" s="32">
        <v>21</v>
      </c>
      <c r="AO44" s="32">
        <f>H44*0.310294573643411</f>
        <v>0</v>
      </c>
      <c r="AP44" s="32">
        <f>H44*(1-0.310294573643411)</f>
        <v>0</v>
      </c>
      <c r="AQ44" s="27" t="s">
        <v>7</v>
      </c>
      <c r="AV44" s="32">
        <f>AW44+AX44</f>
        <v>0</v>
      </c>
      <c r="AW44" s="32">
        <f>G44*AO44</f>
        <v>0</v>
      </c>
      <c r="AX44" s="32">
        <f>G44*AP44</f>
        <v>0</v>
      </c>
      <c r="AY44" s="33" t="s">
        <v>673</v>
      </c>
      <c r="AZ44" s="33" t="s">
        <v>711</v>
      </c>
      <c r="BA44" s="28" t="s">
        <v>721</v>
      </c>
      <c r="BC44" s="32">
        <f>AW44+AX44</f>
        <v>0</v>
      </c>
      <c r="BD44" s="32">
        <f>H44/(100-BE44)*100</f>
        <v>0</v>
      </c>
      <c r="BE44" s="32">
        <v>0</v>
      </c>
      <c r="BF44" s="32">
        <f>44</f>
        <v>44</v>
      </c>
      <c r="BH44" s="12">
        <f>G44*AO44</f>
        <v>0</v>
      </c>
      <c r="BI44" s="12">
        <f>G44*AP44</f>
        <v>0</v>
      </c>
      <c r="BJ44" s="12">
        <f>G44*H44</f>
        <v>0</v>
      </c>
    </row>
    <row r="45" spans="1:62" x14ac:dyDescent="0.25">
      <c r="A45" s="132" t="s">
        <v>27</v>
      </c>
      <c r="B45" s="132" t="s">
        <v>214</v>
      </c>
      <c r="C45" s="225" t="s">
        <v>431</v>
      </c>
      <c r="D45" s="221"/>
      <c r="E45" s="221"/>
      <c r="F45" s="132" t="s">
        <v>625</v>
      </c>
      <c r="G45" s="77">
        <v>48.73</v>
      </c>
      <c r="H45" s="17">
        <v>0</v>
      </c>
      <c r="I45" s="12">
        <f>G45*AO45</f>
        <v>0</v>
      </c>
      <c r="J45" s="12">
        <f>G45*AP45</f>
        <v>0</v>
      </c>
      <c r="K45" s="12">
        <f>G45*H45</f>
        <v>0</v>
      </c>
      <c r="L45" s="37">
        <f>IF(K264=0,0,K45/K264)</f>
        <v>0</v>
      </c>
      <c r="M45" s="27" t="s">
        <v>657</v>
      </c>
      <c r="Z45" s="32">
        <f>IF(AQ45="5",BJ45,0)</f>
        <v>0</v>
      </c>
      <c r="AB45" s="32">
        <f>IF(AQ45="1",BH45,0)</f>
        <v>0</v>
      </c>
      <c r="AC45" s="32">
        <f>IF(AQ45="1",BI45,0)</f>
        <v>0</v>
      </c>
      <c r="AD45" s="32">
        <f>IF(AQ45="7",BH45,0)</f>
        <v>0</v>
      </c>
      <c r="AE45" s="32">
        <f>IF(AQ45="7",BI45,0)</f>
        <v>0</v>
      </c>
      <c r="AF45" s="32">
        <f>IF(AQ45="2",BH45,0)</f>
        <v>0</v>
      </c>
      <c r="AG45" s="32">
        <f>IF(AQ45="2",BI45,0)</f>
        <v>0</v>
      </c>
      <c r="AH45" s="32">
        <f>IF(AQ45="0",BJ45,0)</f>
        <v>0</v>
      </c>
      <c r="AI45" s="28"/>
      <c r="AJ45" s="12">
        <f>IF(AN45=0,K45,0)</f>
        <v>0</v>
      </c>
      <c r="AK45" s="12">
        <f>IF(AN45=15,K45,0)</f>
        <v>0</v>
      </c>
      <c r="AL45" s="12">
        <f>IF(AN45=21,K45,0)</f>
        <v>0</v>
      </c>
      <c r="AN45" s="32">
        <v>21</v>
      </c>
      <c r="AO45" s="32">
        <f>H45*0.351515824678122</f>
        <v>0</v>
      </c>
      <c r="AP45" s="32">
        <f>H45*(1-0.351515824678122)</f>
        <v>0</v>
      </c>
      <c r="AQ45" s="27" t="s">
        <v>7</v>
      </c>
      <c r="AV45" s="32">
        <f>AW45+AX45</f>
        <v>0</v>
      </c>
      <c r="AW45" s="32">
        <f>G45*AO45</f>
        <v>0</v>
      </c>
      <c r="AX45" s="32">
        <f>G45*AP45</f>
        <v>0</v>
      </c>
      <c r="AY45" s="33" t="s">
        <v>673</v>
      </c>
      <c r="AZ45" s="33" t="s">
        <v>711</v>
      </c>
      <c r="BA45" s="28" t="s">
        <v>721</v>
      </c>
      <c r="BC45" s="32">
        <f>AW45+AX45</f>
        <v>0</v>
      </c>
      <c r="BD45" s="32">
        <f>H45/(100-BE45)*100</f>
        <v>0</v>
      </c>
      <c r="BE45" s="32">
        <v>0</v>
      </c>
      <c r="BF45" s="32">
        <f>45</f>
        <v>45</v>
      </c>
      <c r="BH45" s="12">
        <f>G45*AO45</f>
        <v>0</v>
      </c>
      <c r="BI45" s="12">
        <f>G45*AP45</f>
        <v>0</v>
      </c>
      <c r="BJ45" s="12">
        <f>G45*H45</f>
        <v>0</v>
      </c>
    </row>
    <row r="46" spans="1:62" x14ac:dyDescent="0.25">
      <c r="A46" s="5"/>
      <c r="B46" s="133" t="s">
        <v>60</v>
      </c>
      <c r="C46" s="226" t="s">
        <v>432</v>
      </c>
      <c r="D46" s="227"/>
      <c r="E46" s="227"/>
      <c r="F46" s="5" t="s">
        <v>6</v>
      </c>
      <c r="G46" s="5" t="s">
        <v>6</v>
      </c>
      <c r="H46" s="18" t="s">
        <v>6</v>
      </c>
      <c r="I46" s="35">
        <f>SUM(I47:I52)</f>
        <v>0</v>
      </c>
      <c r="J46" s="35">
        <f>SUM(J47:J52)</f>
        <v>0</v>
      </c>
      <c r="K46" s="35">
        <f>SUM(K47:K52)</f>
        <v>0</v>
      </c>
      <c r="L46" s="38">
        <f>IF(K264=0,0,K46/K264)</f>
        <v>0</v>
      </c>
      <c r="M46" s="28"/>
      <c r="AI46" s="28"/>
      <c r="AS46" s="35">
        <f>SUM(AJ47:AJ52)</f>
        <v>0</v>
      </c>
      <c r="AT46" s="35">
        <f>SUM(AK47:AK52)</f>
        <v>0</v>
      </c>
      <c r="AU46" s="35">
        <f>SUM(AL47:AL52)</f>
        <v>0</v>
      </c>
    </row>
    <row r="47" spans="1:62" x14ac:dyDescent="0.25">
      <c r="A47" s="132" t="s">
        <v>28</v>
      </c>
      <c r="B47" s="132" t="s">
        <v>215</v>
      </c>
      <c r="C47" s="225" t="s">
        <v>433</v>
      </c>
      <c r="D47" s="221"/>
      <c r="E47" s="221"/>
      <c r="F47" s="132" t="s">
        <v>625</v>
      </c>
      <c r="G47" s="77">
        <v>39.036000000000001</v>
      </c>
      <c r="H47" s="17">
        <v>0</v>
      </c>
      <c r="I47" s="12">
        <f>G47*AO47</f>
        <v>0</v>
      </c>
      <c r="J47" s="12">
        <f>G47*AP47</f>
        <v>0</v>
      </c>
      <c r="K47" s="12">
        <f>G47*H47</f>
        <v>0</v>
      </c>
      <c r="L47" s="37">
        <f>IF(K264=0,0,K47/K264)</f>
        <v>0</v>
      </c>
      <c r="M47" s="27" t="s">
        <v>657</v>
      </c>
      <c r="Z47" s="32">
        <f>IF(AQ47="5",BJ47,0)</f>
        <v>0</v>
      </c>
      <c r="AB47" s="32">
        <f>IF(AQ47="1",BH47,0)</f>
        <v>0</v>
      </c>
      <c r="AC47" s="32">
        <f>IF(AQ47="1",BI47,0)</f>
        <v>0</v>
      </c>
      <c r="AD47" s="32">
        <f>IF(AQ47="7",BH47,0)</f>
        <v>0</v>
      </c>
      <c r="AE47" s="32">
        <f>IF(AQ47="7",BI47,0)</f>
        <v>0</v>
      </c>
      <c r="AF47" s="32">
        <f>IF(AQ47="2",BH47,0)</f>
        <v>0</v>
      </c>
      <c r="AG47" s="32">
        <f>IF(AQ47="2",BI47,0)</f>
        <v>0</v>
      </c>
      <c r="AH47" s="32">
        <f>IF(AQ47="0",BJ47,0)</f>
        <v>0</v>
      </c>
      <c r="AI47" s="28"/>
      <c r="AJ47" s="12">
        <f>IF(AN47=0,K47,0)</f>
        <v>0</v>
      </c>
      <c r="AK47" s="12">
        <f>IF(AN47=15,K47,0)</f>
        <v>0</v>
      </c>
      <c r="AL47" s="12">
        <f>IF(AN47=21,K47,0)</f>
        <v>0</v>
      </c>
      <c r="AN47" s="32">
        <v>21</v>
      </c>
      <c r="AO47" s="32">
        <f>H47*0.764493685583489</f>
        <v>0</v>
      </c>
      <c r="AP47" s="32">
        <f>H47*(1-0.764493685583489)</f>
        <v>0</v>
      </c>
      <c r="AQ47" s="27" t="s">
        <v>7</v>
      </c>
      <c r="AV47" s="32">
        <f>AW47+AX47</f>
        <v>0</v>
      </c>
      <c r="AW47" s="32">
        <f>G47*AO47</f>
        <v>0</v>
      </c>
      <c r="AX47" s="32">
        <f>G47*AP47</f>
        <v>0</v>
      </c>
      <c r="AY47" s="33" t="s">
        <v>674</v>
      </c>
      <c r="AZ47" s="33" t="s">
        <v>712</v>
      </c>
      <c r="BA47" s="28" t="s">
        <v>721</v>
      </c>
      <c r="BC47" s="32">
        <f>AW47+AX47</f>
        <v>0</v>
      </c>
      <c r="BD47" s="32">
        <f>H47/(100-BE47)*100</f>
        <v>0</v>
      </c>
      <c r="BE47" s="32">
        <v>0</v>
      </c>
      <c r="BF47" s="32">
        <f>47</f>
        <v>47</v>
      </c>
      <c r="BH47" s="12">
        <f>G47*AO47</f>
        <v>0</v>
      </c>
      <c r="BI47" s="12">
        <f>G47*AP47</f>
        <v>0</v>
      </c>
      <c r="BJ47" s="12">
        <f>G47*H47</f>
        <v>0</v>
      </c>
    </row>
    <row r="48" spans="1:62" x14ac:dyDescent="0.25">
      <c r="A48" s="137" t="s">
        <v>29</v>
      </c>
      <c r="B48" s="137" t="s">
        <v>216</v>
      </c>
      <c r="C48" s="223" t="s">
        <v>434</v>
      </c>
      <c r="D48" s="221"/>
      <c r="E48" s="224"/>
      <c r="F48" s="137" t="s">
        <v>625</v>
      </c>
      <c r="G48" s="92">
        <v>39.036000000000001</v>
      </c>
      <c r="H48" s="17">
        <v>0</v>
      </c>
      <c r="I48" s="93">
        <f>G48*AO48</f>
        <v>0</v>
      </c>
      <c r="J48" s="93">
        <f>G48*AP48</f>
        <v>0</v>
      </c>
      <c r="K48" s="93">
        <f>G48*H48</f>
        <v>0</v>
      </c>
      <c r="L48" s="94">
        <f>IF(K264=0,0,K48/K264)</f>
        <v>0</v>
      </c>
      <c r="M48" s="95" t="s">
        <v>657</v>
      </c>
      <c r="Z48" s="32">
        <f>IF(AQ48="5",BJ48,0)</f>
        <v>0</v>
      </c>
      <c r="AB48" s="32">
        <f>IF(AQ48="1",BH48,0)</f>
        <v>0</v>
      </c>
      <c r="AC48" s="32">
        <f>IF(AQ48="1",BI48,0)</f>
        <v>0</v>
      </c>
      <c r="AD48" s="32">
        <f>IF(AQ48="7",BH48,0)</f>
        <v>0</v>
      </c>
      <c r="AE48" s="32">
        <f>IF(AQ48="7",BI48,0)</f>
        <v>0</v>
      </c>
      <c r="AF48" s="32">
        <f>IF(AQ48="2",BH48,0)</f>
        <v>0</v>
      </c>
      <c r="AG48" s="32">
        <f>IF(AQ48="2",BI48,0)</f>
        <v>0</v>
      </c>
      <c r="AH48" s="32">
        <f>IF(AQ48="0",BJ48,0)</f>
        <v>0</v>
      </c>
      <c r="AI48" s="28"/>
      <c r="AJ48" s="12">
        <f>IF(AN48=0,K48,0)</f>
        <v>0</v>
      </c>
      <c r="AK48" s="12">
        <f>IF(AN48=15,K48,0)</f>
        <v>0</v>
      </c>
      <c r="AL48" s="12">
        <f>IF(AN48=21,K48,0)</f>
        <v>0</v>
      </c>
      <c r="AN48" s="32">
        <v>21</v>
      </c>
      <c r="AO48" s="32">
        <f>H48*0.866464607419951</f>
        <v>0</v>
      </c>
      <c r="AP48" s="32">
        <f>H48*(1-0.866464607419951)</f>
        <v>0</v>
      </c>
      <c r="AQ48" s="27" t="s">
        <v>7</v>
      </c>
      <c r="AV48" s="32">
        <f>AW48+AX48</f>
        <v>0</v>
      </c>
      <c r="AW48" s="32">
        <f>G48*AO48</f>
        <v>0</v>
      </c>
      <c r="AX48" s="32">
        <f>G48*AP48</f>
        <v>0</v>
      </c>
      <c r="AY48" s="33" t="s">
        <v>674</v>
      </c>
      <c r="AZ48" s="33" t="s">
        <v>712</v>
      </c>
      <c r="BA48" s="28" t="s">
        <v>721</v>
      </c>
      <c r="BC48" s="32">
        <f>AW48+AX48</f>
        <v>0</v>
      </c>
      <c r="BD48" s="32">
        <f>H48/(100-BE48)*100</f>
        <v>0</v>
      </c>
      <c r="BE48" s="32">
        <v>0</v>
      </c>
      <c r="BF48" s="32">
        <f>48</f>
        <v>48</v>
      </c>
      <c r="BH48" s="12">
        <f>G48*AO48</f>
        <v>0</v>
      </c>
      <c r="BI48" s="12">
        <f>G48*AP48</f>
        <v>0</v>
      </c>
      <c r="BJ48" s="12">
        <f>G48*H48</f>
        <v>0</v>
      </c>
    </row>
    <row r="49" spans="1:62" x14ac:dyDescent="0.25">
      <c r="A49" s="274"/>
      <c r="B49" s="274"/>
      <c r="C49" s="228" t="s">
        <v>435</v>
      </c>
      <c r="D49" s="229"/>
      <c r="E49" s="229"/>
      <c r="F49" s="274"/>
      <c r="G49" s="274"/>
      <c r="H49" s="19"/>
      <c r="I49" s="274"/>
      <c r="J49" s="274"/>
      <c r="K49" s="274"/>
      <c r="L49" s="274"/>
      <c r="M49" s="274"/>
    </row>
    <row r="50" spans="1:62" x14ac:dyDescent="0.25">
      <c r="A50" s="132" t="s">
        <v>30</v>
      </c>
      <c r="B50" s="132" t="s">
        <v>217</v>
      </c>
      <c r="C50" s="225" t="s">
        <v>436</v>
      </c>
      <c r="D50" s="221"/>
      <c r="E50" s="221"/>
      <c r="F50" s="132" t="s">
        <v>625</v>
      </c>
      <c r="G50" s="77">
        <v>39.036000000000001</v>
      </c>
      <c r="H50" s="17">
        <v>0</v>
      </c>
      <c r="I50" s="12">
        <f>G50*AO50</f>
        <v>0</v>
      </c>
      <c r="J50" s="12">
        <f>G50*AP50</f>
        <v>0</v>
      </c>
      <c r="K50" s="12">
        <f>G50*H50</f>
        <v>0</v>
      </c>
      <c r="L50" s="37">
        <f>IF(K264=0,0,K50/K264)</f>
        <v>0</v>
      </c>
      <c r="M50" s="27" t="s">
        <v>657</v>
      </c>
      <c r="Z50" s="32">
        <f>IF(AQ50="5",BJ50,0)</f>
        <v>0</v>
      </c>
      <c r="AB50" s="32">
        <f>IF(AQ50="1",BH50,0)</f>
        <v>0</v>
      </c>
      <c r="AC50" s="32">
        <f>IF(AQ50="1",BI50,0)</f>
        <v>0</v>
      </c>
      <c r="AD50" s="32">
        <f>IF(AQ50="7",BH50,0)</f>
        <v>0</v>
      </c>
      <c r="AE50" s="32">
        <f>IF(AQ50="7",BI50,0)</f>
        <v>0</v>
      </c>
      <c r="AF50" s="32">
        <f>IF(AQ50="2",BH50,0)</f>
        <v>0</v>
      </c>
      <c r="AG50" s="32">
        <f>IF(AQ50="2",BI50,0)</f>
        <v>0</v>
      </c>
      <c r="AH50" s="32">
        <f>IF(AQ50="0",BJ50,0)</f>
        <v>0</v>
      </c>
      <c r="AI50" s="28"/>
      <c r="AJ50" s="12">
        <f>IF(AN50=0,K50,0)</f>
        <v>0</v>
      </c>
      <c r="AK50" s="12">
        <f>IF(AN50=15,K50,0)</f>
        <v>0</v>
      </c>
      <c r="AL50" s="12">
        <f>IF(AN50=21,K50,0)</f>
        <v>0</v>
      </c>
      <c r="AN50" s="32">
        <v>21</v>
      </c>
      <c r="AO50" s="32">
        <f>H50*0.867293893024917</f>
        <v>0</v>
      </c>
      <c r="AP50" s="32">
        <f>H50*(1-0.867293893024917)</f>
        <v>0</v>
      </c>
      <c r="AQ50" s="27" t="s">
        <v>7</v>
      </c>
      <c r="AV50" s="32">
        <f>AW50+AX50</f>
        <v>0</v>
      </c>
      <c r="AW50" s="32">
        <f>G50*AO50</f>
        <v>0</v>
      </c>
      <c r="AX50" s="32">
        <f>G50*AP50</f>
        <v>0</v>
      </c>
      <c r="AY50" s="33" t="s">
        <v>674</v>
      </c>
      <c r="AZ50" s="33" t="s">
        <v>712</v>
      </c>
      <c r="BA50" s="28" t="s">
        <v>721</v>
      </c>
      <c r="BC50" s="32">
        <f>AW50+AX50</f>
        <v>0</v>
      </c>
      <c r="BD50" s="32">
        <f>H50/(100-BE50)*100</f>
        <v>0</v>
      </c>
      <c r="BE50" s="32">
        <v>0</v>
      </c>
      <c r="BF50" s="32">
        <f>50</f>
        <v>50</v>
      </c>
      <c r="BH50" s="12">
        <f>G50*AO50</f>
        <v>0</v>
      </c>
      <c r="BI50" s="12">
        <f>G50*AP50</f>
        <v>0</v>
      </c>
      <c r="BJ50" s="12">
        <f>G50*H50</f>
        <v>0</v>
      </c>
    </row>
    <row r="51" spans="1:62" x14ac:dyDescent="0.25">
      <c r="A51" s="274"/>
      <c r="B51" s="274"/>
      <c r="C51" s="228" t="s">
        <v>437</v>
      </c>
      <c r="D51" s="229"/>
      <c r="E51" s="229"/>
      <c r="F51" s="274"/>
      <c r="G51" s="274"/>
      <c r="H51" s="19"/>
      <c r="I51" s="274"/>
      <c r="J51" s="274"/>
      <c r="K51" s="274"/>
      <c r="L51" s="274"/>
      <c r="M51" s="274"/>
    </row>
    <row r="52" spans="1:62" x14ac:dyDescent="0.25">
      <c r="A52" s="137" t="s">
        <v>31</v>
      </c>
      <c r="B52" s="137" t="s">
        <v>218</v>
      </c>
      <c r="C52" s="223" t="s">
        <v>438</v>
      </c>
      <c r="D52" s="221"/>
      <c r="E52" s="224"/>
      <c r="F52" s="137" t="s">
        <v>625</v>
      </c>
      <c r="G52" s="92">
        <v>238.73</v>
      </c>
      <c r="H52" s="17">
        <v>0</v>
      </c>
      <c r="I52" s="93">
        <f>G52*AO52</f>
        <v>0</v>
      </c>
      <c r="J52" s="93">
        <f>G52*AP52</f>
        <v>0</v>
      </c>
      <c r="K52" s="93">
        <f>G52*H52</f>
        <v>0</v>
      </c>
      <c r="L52" s="94">
        <f>IF(K264=0,0,K52/K264)</f>
        <v>0</v>
      </c>
      <c r="M52" s="95" t="s">
        <v>657</v>
      </c>
      <c r="Z52" s="32">
        <f>IF(AQ52="5",BJ52,0)</f>
        <v>0</v>
      </c>
      <c r="AB52" s="32">
        <f>IF(AQ52="1",BH52,0)</f>
        <v>0</v>
      </c>
      <c r="AC52" s="32">
        <f>IF(AQ52="1",BI52,0)</f>
        <v>0</v>
      </c>
      <c r="AD52" s="32">
        <f>IF(AQ52="7",BH52,0)</f>
        <v>0</v>
      </c>
      <c r="AE52" s="32">
        <f>IF(AQ52="7",BI52,0)</f>
        <v>0</v>
      </c>
      <c r="AF52" s="32">
        <f>IF(AQ52="2",BH52,0)</f>
        <v>0</v>
      </c>
      <c r="AG52" s="32">
        <f>IF(AQ52="2",BI52,0)</f>
        <v>0</v>
      </c>
      <c r="AH52" s="32">
        <f>IF(AQ52="0",BJ52,0)</f>
        <v>0</v>
      </c>
      <c r="AI52" s="28"/>
      <c r="AJ52" s="12">
        <f>IF(AN52=0,K52,0)</f>
        <v>0</v>
      </c>
      <c r="AK52" s="12">
        <f>IF(AN52=15,K52,0)</f>
        <v>0</v>
      </c>
      <c r="AL52" s="12">
        <f>IF(AN52=21,K52,0)</f>
        <v>0</v>
      </c>
      <c r="AN52" s="32">
        <v>21</v>
      </c>
      <c r="AO52" s="32">
        <f>H52*0.844679317889899</f>
        <v>0</v>
      </c>
      <c r="AP52" s="32">
        <f>H52*(1-0.844679317889899)</f>
        <v>0</v>
      </c>
      <c r="AQ52" s="27" t="s">
        <v>7</v>
      </c>
      <c r="AV52" s="32">
        <f>AW52+AX52</f>
        <v>0</v>
      </c>
      <c r="AW52" s="32">
        <f>G52*AO52</f>
        <v>0</v>
      </c>
      <c r="AX52" s="32">
        <f>G52*AP52</f>
        <v>0</v>
      </c>
      <c r="AY52" s="33" t="s">
        <v>674</v>
      </c>
      <c r="AZ52" s="33" t="s">
        <v>712</v>
      </c>
      <c r="BA52" s="28" t="s">
        <v>721</v>
      </c>
      <c r="BC52" s="32">
        <f>AW52+AX52</f>
        <v>0</v>
      </c>
      <c r="BD52" s="32">
        <f>H52/(100-BE52)*100</f>
        <v>0</v>
      </c>
      <c r="BE52" s="32">
        <v>0</v>
      </c>
      <c r="BF52" s="32">
        <f>52</f>
        <v>52</v>
      </c>
      <c r="BH52" s="12">
        <f>G52*AO52</f>
        <v>0</v>
      </c>
      <c r="BI52" s="12">
        <f>G52*AP52</f>
        <v>0</v>
      </c>
      <c r="BJ52" s="12">
        <f>G52*H52</f>
        <v>0</v>
      </c>
    </row>
    <row r="53" spans="1:62" x14ac:dyDescent="0.25">
      <c r="A53" s="5"/>
      <c r="B53" s="133" t="s">
        <v>61</v>
      </c>
      <c r="C53" s="226" t="s">
        <v>439</v>
      </c>
      <c r="D53" s="227"/>
      <c r="E53" s="227"/>
      <c r="F53" s="5" t="s">
        <v>6</v>
      </c>
      <c r="G53" s="5" t="s">
        <v>6</v>
      </c>
      <c r="H53" s="18" t="s">
        <v>6</v>
      </c>
      <c r="I53" s="35">
        <f>SUM(I54:I56)</f>
        <v>0</v>
      </c>
      <c r="J53" s="35">
        <f>SUM(J54:J56)</f>
        <v>0</v>
      </c>
      <c r="K53" s="35">
        <f>SUM(K54:K56)</f>
        <v>0</v>
      </c>
      <c r="L53" s="38">
        <f>IF(K264=0,0,K53/K264)</f>
        <v>0</v>
      </c>
      <c r="M53" s="28"/>
      <c r="AI53" s="28"/>
      <c r="AS53" s="35">
        <f>SUM(AJ54:AJ56)</f>
        <v>0</v>
      </c>
      <c r="AT53" s="35">
        <f>SUM(AK54:AK56)</f>
        <v>0</v>
      </c>
      <c r="AU53" s="35">
        <f>SUM(AL54:AL56)</f>
        <v>0</v>
      </c>
    </row>
    <row r="54" spans="1:62" x14ac:dyDescent="0.25">
      <c r="A54" s="132" t="s">
        <v>32</v>
      </c>
      <c r="B54" s="132" t="s">
        <v>219</v>
      </c>
      <c r="C54" s="225" t="s">
        <v>440</v>
      </c>
      <c r="D54" s="221"/>
      <c r="E54" s="221"/>
      <c r="F54" s="132" t="s">
        <v>625</v>
      </c>
      <c r="G54" s="77">
        <v>39.036000000000001</v>
      </c>
      <c r="H54" s="17">
        <v>0</v>
      </c>
      <c r="I54" s="12">
        <f>G54*AO54</f>
        <v>0</v>
      </c>
      <c r="J54" s="12">
        <f>G54*AP54</f>
        <v>0</v>
      </c>
      <c r="K54" s="12">
        <f>G54*H54</f>
        <v>0</v>
      </c>
      <c r="L54" s="37">
        <f>IF(K264=0,0,K54/K264)</f>
        <v>0</v>
      </c>
      <c r="M54" s="27" t="s">
        <v>657</v>
      </c>
      <c r="Z54" s="32">
        <f>IF(AQ54="5",BJ54,0)</f>
        <v>0</v>
      </c>
      <c r="AB54" s="32">
        <f>IF(AQ54="1",BH54,0)</f>
        <v>0</v>
      </c>
      <c r="AC54" s="32">
        <f>IF(AQ54="1",BI54,0)</f>
        <v>0</v>
      </c>
      <c r="AD54" s="32">
        <f>IF(AQ54="7",BH54,0)</f>
        <v>0</v>
      </c>
      <c r="AE54" s="32">
        <f>IF(AQ54="7",BI54,0)</f>
        <v>0</v>
      </c>
      <c r="AF54" s="32">
        <f>IF(AQ54="2",BH54,0)</f>
        <v>0</v>
      </c>
      <c r="AG54" s="32">
        <f>IF(AQ54="2",BI54,0)</f>
        <v>0</v>
      </c>
      <c r="AH54" s="32">
        <f>IF(AQ54="0",BJ54,0)</f>
        <v>0</v>
      </c>
      <c r="AI54" s="28"/>
      <c r="AJ54" s="12">
        <f>IF(AN54=0,K54,0)</f>
        <v>0</v>
      </c>
      <c r="AK54" s="12">
        <f>IF(AN54=15,K54,0)</f>
        <v>0</v>
      </c>
      <c r="AL54" s="12">
        <f>IF(AN54=21,K54,0)</f>
        <v>0</v>
      </c>
      <c r="AN54" s="32">
        <v>21</v>
      </c>
      <c r="AO54" s="32">
        <f>H54*0.758988043326929</f>
        <v>0</v>
      </c>
      <c r="AP54" s="32">
        <f>H54*(1-0.758988043326929)</f>
        <v>0</v>
      </c>
      <c r="AQ54" s="27" t="s">
        <v>7</v>
      </c>
      <c r="AV54" s="32">
        <f>AW54+AX54</f>
        <v>0</v>
      </c>
      <c r="AW54" s="32">
        <f>G54*AO54</f>
        <v>0</v>
      </c>
      <c r="AX54" s="32">
        <f>G54*AP54</f>
        <v>0</v>
      </c>
      <c r="AY54" s="33" t="s">
        <v>675</v>
      </c>
      <c r="AZ54" s="33" t="s">
        <v>712</v>
      </c>
      <c r="BA54" s="28" t="s">
        <v>721</v>
      </c>
      <c r="BC54" s="32">
        <f>AW54+AX54</f>
        <v>0</v>
      </c>
      <c r="BD54" s="32">
        <f>H54/(100-BE54)*100</f>
        <v>0</v>
      </c>
      <c r="BE54" s="32">
        <v>0</v>
      </c>
      <c r="BF54" s="32">
        <f>54</f>
        <v>54</v>
      </c>
      <c r="BH54" s="12">
        <f>G54*AO54</f>
        <v>0</v>
      </c>
      <c r="BI54" s="12">
        <f>G54*AP54</f>
        <v>0</v>
      </c>
      <c r="BJ54" s="12">
        <f>G54*H54</f>
        <v>0</v>
      </c>
    </row>
    <row r="55" spans="1:62" x14ac:dyDescent="0.25">
      <c r="A55" s="132" t="s">
        <v>33</v>
      </c>
      <c r="B55" s="132" t="s">
        <v>220</v>
      </c>
      <c r="C55" s="225" t="s">
        <v>441</v>
      </c>
      <c r="D55" s="221"/>
      <c r="E55" s="221"/>
      <c r="F55" s="132" t="s">
        <v>625</v>
      </c>
      <c r="G55" s="77">
        <v>39.036000000000001</v>
      </c>
      <c r="H55" s="17">
        <v>0</v>
      </c>
      <c r="I55" s="12">
        <f>G55*AO55</f>
        <v>0</v>
      </c>
      <c r="J55" s="12">
        <f>G55*AP55</f>
        <v>0</v>
      </c>
      <c r="K55" s="12">
        <f>G55*H55</f>
        <v>0</v>
      </c>
      <c r="L55" s="37">
        <f>IF(K264=0,0,K55/K264)</f>
        <v>0</v>
      </c>
      <c r="M55" s="27" t="s">
        <v>657</v>
      </c>
      <c r="Z55" s="32">
        <f>IF(AQ55="5",BJ55,0)</f>
        <v>0</v>
      </c>
      <c r="AB55" s="32">
        <f>IF(AQ55="1",BH55,0)</f>
        <v>0</v>
      </c>
      <c r="AC55" s="32">
        <f>IF(AQ55="1",BI55,0)</f>
        <v>0</v>
      </c>
      <c r="AD55" s="32">
        <f>IF(AQ55="7",BH55,0)</f>
        <v>0</v>
      </c>
      <c r="AE55" s="32">
        <f>IF(AQ55="7",BI55,0)</f>
        <v>0</v>
      </c>
      <c r="AF55" s="32">
        <f>IF(AQ55="2",BH55,0)</f>
        <v>0</v>
      </c>
      <c r="AG55" s="32">
        <f>IF(AQ55="2",BI55,0)</f>
        <v>0</v>
      </c>
      <c r="AH55" s="32">
        <f>IF(AQ55="0",BJ55,0)</f>
        <v>0</v>
      </c>
      <c r="AI55" s="28"/>
      <c r="AJ55" s="12">
        <f>IF(AN55=0,K55,0)</f>
        <v>0</v>
      </c>
      <c r="AK55" s="12">
        <f>IF(AN55=15,K55,0)</f>
        <v>0</v>
      </c>
      <c r="AL55" s="12">
        <f>IF(AN55=21,K55,0)</f>
        <v>0</v>
      </c>
      <c r="AN55" s="32">
        <v>21</v>
      </c>
      <c r="AO55" s="32">
        <f>H55*0.926871977077364</f>
        <v>0</v>
      </c>
      <c r="AP55" s="32">
        <f>H55*(1-0.926871977077364)</f>
        <v>0</v>
      </c>
      <c r="AQ55" s="27" t="s">
        <v>7</v>
      </c>
      <c r="AV55" s="32">
        <f>AW55+AX55</f>
        <v>0</v>
      </c>
      <c r="AW55" s="32">
        <f>G55*AO55</f>
        <v>0</v>
      </c>
      <c r="AX55" s="32">
        <f>G55*AP55</f>
        <v>0</v>
      </c>
      <c r="AY55" s="33" t="s">
        <v>675</v>
      </c>
      <c r="AZ55" s="33" t="s">
        <v>712</v>
      </c>
      <c r="BA55" s="28" t="s">
        <v>721</v>
      </c>
      <c r="BC55" s="32">
        <f>AW55+AX55</f>
        <v>0</v>
      </c>
      <c r="BD55" s="32">
        <f>H55/(100-BE55)*100</f>
        <v>0</v>
      </c>
      <c r="BE55" s="32">
        <v>0</v>
      </c>
      <c r="BF55" s="32">
        <f>55</f>
        <v>55</v>
      </c>
      <c r="BH55" s="12">
        <f>G55*AO55</f>
        <v>0</v>
      </c>
      <c r="BI55" s="12">
        <f>G55*AP55</f>
        <v>0</v>
      </c>
      <c r="BJ55" s="12">
        <f>G55*H55</f>
        <v>0</v>
      </c>
    </row>
    <row r="56" spans="1:62" x14ac:dyDescent="0.25">
      <c r="A56" s="137" t="s">
        <v>34</v>
      </c>
      <c r="B56" s="137" t="s">
        <v>221</v>
      </c>
      <c r="C56" s="223" t="s">
        <v>442</v>
      </c>
      <c r="D56" s="221"/>
      <c r="E56" s="224"/>
      <c r="F56" s="137" t="s">
        <v>625</v>
      </c>
      <c r="G56" s="92">
        <v>14.4</v>
      </c>
      <c r="H56" s="17">
        <v>0</v>
      </c>
      <c r="I56" s="93">
        <f>G56*AO56</f>
        <v>0</v>
      </c>
      <c r="J56" s="93">
        <f>G56*AP56</f>
        <v>0</v>
      </c>
      <c r="K56" s="93">
        <f>G56*H56</f>
        <v>0</v>
      </c>
      <c r="L56" s="94">
        <f>IF(K264=0,0,K56/K264)</f>
        <v>0</v>
      </c>
      <c r="M56" s="95" t="s">
        <v>657</v>
      </c>
      <c r="Z56" s="32">
        <f>IF(AQ56="5",BJ56,0)</f>
        <v>0</v>
      </c>
      <c r="AB56" s="32">
        <f>IF(AQ56="1",BH56,0)</f>
        <v>0</v>
      </c>
      <c r="AC56" s="32">
        <f>IF(AQ56="1",BI56,0)</f>
        <v>0</v>
      </c>
      <c r="AD56" s="32">
        <f>IF(AQ56="7",BH56,0)</f>
        <v>0</v>
      </c>
      <c r="AE56" s="32">
        <f>IF(AQ56="7",BI56,0)</f>
        <v>0</v>
      </c>
      <c r="AF56" s="32">
        <f>IF(AQ56="2",BH56,0)</f>
        <v>0</v>
      </c>
      <c r="AG56" s="32">
        <f>IF(AQ56="2",BI56,0)</f>
        <v>0</v>
      </c>
      <c r="AH56" s="32">
        <f>IF(AQ56="0",BJ56,0)</f>
        <v>0</v>
      </c>
      <c r="AI56" s="28"/>
      <c r="AJ56" s="12">
        <f>IF(AN56=0,K56,0)</f>
        <v>0</v>
      </c>
      <c r="AK56" s="12">
        <f>IF(AN56=15,K56,0)</f>
        <v>0</v>
      </c>
      <c r="AL56" s="12">
        <f>IF(AN56=21,K56,0)</f>
        <v>0</v>
      </c>
      <c r="AN56" s="32">
        <v>21</v>
      </c>
      <c r="AO56" s="32">
        <f>H56*0.82198243412798</f>
        <v>0</v>
      </c>
      <c r="AP56" s="32">
        <f>H56*(1-0.82198243412798)</f>
        <v>0</v>
      </c>
      <c r="AQ56" s="27" t="s">
        <v>7</v>
      </c>
      <c r="AV56" s="32">
        <f>AW56+AX56</f>
        <v>0</v>
      </c>
      <c r="AW56" s="32">
        <f>G56*AO56</f>
        <v>0</v>
      </c>
      <c r="AX56" s="32">
        <f>G56*AP56</f>
        <v>0</v>
      </c>
      <c r="AY56" s="33" t="s">
        <v>675</v>
      </c>
      <c r="AZ56" s="33" t="s">
        <v>712</v>
      </c>
      <c r="BA56" s="28" t="s">
        <v>721</v>
      </c>
      <c r="BC56" s="32">
        <f>AW56+AX56</f>
        <v>0</v>
      </c>
      <c r="BD56" s="32">
        <f>H56/(100-BE56)*100</f>
        <v>0</v>
      </c>
      <c r="BE56" s="32">
        <v>0</v>
      </c>
      <c r="BF56" s="32">
        <f>56</f>
        <v>56</v>
      </c>
      <c r="BH56" s="12">
        <f>G56*AO56</f>
        <v>0</v>
      </c>
      <c r="BI56" s="12">
        <f>G56*AP56</f>
        <v>0</v>
      </c>
      <c r="BJ56" s="12">
        <f>G56*H56</f>
        <v>0</v>
      </c>
    </row>
    <row r="57" spans="1:62" x14ac:dyDescent="0.25">
      <c r="A57" s="5"/>
      <c r="B57" s="133" t="s">
        <v>63</v>
      </c>
      <c r="C57" s="226" t="s">
        <v>443</v>
      </c>
      <c r="D57" s="227"/>
      <c r="E57" s="227"/>
      <c r="F57" s="5" t="s">
        <v>6</v>
      </c>
      <c r="G57" s="5" t="s">
        <v>6</v>
      </c>
      <c r="H57" s="18" t="s">
        <v>6</v>
      </c>
      <c r="I57" s="35">
        <f>SUM(I58:I58)</f>
        <v>0</v>
      </c>
      <c r="J57" s="35">
        <f>SUM(J58:J58)</f>
        <v>0</v>
      </c>
      <c r="K57" s="35">
        <f>SUM(K58:K58)</f>
        <v>0</v>
      </c>
      <c r="L57" s="38">
        <f>IF(K264=0,0,K57/K264)</f>
        <v>0</v>
      </c>
      <c r="M57" s="28"/>
      <c r="AI57" s="28"/>
      <c r="AS57" s="35">
        <f>SUM(AJ58:AJ58)</f>
        <v>0</v>
      </c>
      <c r="AT57" s="35">
        <f>SUM(AK58:AK58)</f>
        <v>0</v>
      </c>
      <c r="AU57" s="35">
        <f>SUM(AL58:AL58)</f>
        <v>0</v>
      </c>
    </row>
    <row r="58" spans="1:62" x14ac:dyDescent="0.25">
      <c r="A58" s="137" t="s">
        <v>36</v>
      </c>
      <c r="B58" s="137" t="s">
        <v>222</v>
      </c>
      <c r="C58" s="278" t="s">
        <v>1120</v>
      </c>
      <c r="D58" s="221"/>
      <c r="E58" s="224"/>
      <c r="F58" s="137" t="s">
        <v>628</v>
      </c>
      <c r="G58" s="92">
        <v>39</v>
      </c>
      <c r="H58" s="17">
        <v>0</v>
      </c>
      <c r="I58" s="93">
        <f>G58*AO58</f>
        <v>0</v>
      </c>
      <c r="J58" s="93">
        <f>G58*AP58</f>
        <v>0</v>
      </c>
      <c r="K58" s="93">
        <f>G58*H58</f>
        <v>0</v>
      </c>
      <c r="L58" s="94">
        <f>IF(K264=0,0,K58/K264)</f>
        <v>0</v>
      </c>
      <c r="M58" s="95" t="s">
        <v>657</v>
      </c>
      <c r="Z58" s="32">
        <f>IF(AQ58="5",BJ58,0)</f>
        <v>0</v>
      </c>
      <c r="AB58" s="32">
        <f>IF(AQ58="1",BH58,0)</f>
        <v>0</v>
      </c>
      <c r="AC58" s="32">
        <f>IF(AQ58="1",BI58,0)</f>
        <v>0</v>
      </c>
      <c r="AD58" s="32">
        <f>IF(AQ58="7",BH58,0)</f>
        <v>0</v>
      </c>
      <c r="AE58" s="32">
        <f>IF(AQ58="7",BI58,0)</f>
        <v>0</v>
      </c>
      <c r="AF58" s="32">
        <f>IF(AQ58="2",BH58,0)</f>
        <v>0</v>
      </c>
      <c r="AG58" s="32">
        <f>IF(AQ58="2",BI58,0)</f>
        <v>0</v>
      </c>
      <c r="AH58" s="32">
        <f>IF(AQ58="0",BJ58,0)</f>
        <v>0</v>
      </c>
      <c r="AI58" s="28"/>
      <c r="AJ58" s="12">
        <f>IF(AN58=0,K58,0)</f>
        <v>0</v>
      </c>
      <c r="AK58" s="12">
        <f>IF(AN58=15,K58,0)</f>
        <v>0</v>
      </c>
      <c r="AL58" s="12">
        <f>IF(AN58=21,K58,0)</f>
        <v>0</v>
      </c>
      <c r="AN58" s="32">
        <v>21</v>
      </c>
      <c r="AO58" s="32">
        <f>H58*0.936993318485523</f>
        <v>0</v>
      </c>
      <c r="AP58" s="32">
        <f>H58*(1-0.936993318485523)</f>
        <v>0</v>
      </c>
      <c r="AQ58" s="27" t="s">
        <v>7</v>
      </c>
      <c r="AV58" s="32">
        <f>AW58+AX58</f>
        <v>0</v>
      </c>
      <c r="AW58" s="32">
        <f>G58*AO58</f>
        <v>0</v>
      </c>
      <c r="AX58" s="32">
        <f>G58*AP58</f>
        <v>0</v>
      </c>
      <c r="AY58" s="33" t="s">
        <v>676</v>
      </c>
      <c r="AZ58" s="33" t="s">
        <v>712</v>
      </c>
      <c r="BA58" s="28" t="s">
        <v>721</v>
      </c>
      <c r="BC58" s="32">
        <f>AW58+AX58</f>
        <v>0</v>
      </c>
      <c r="BD58" s="32">
        <f>H58/(100-BE58)*100</f>
        <v>0</v>
      </c>
      <c r="BE58" s="32">
        <v>0</v>
      </c>
      <c r="BF58" s="32">
        <f>61</f>
        <v>61</v>
      </c>
      <c r="BH58" s="12">
        <f>G58*AO58</f>
        <v>0</v>
      </c>
      <c r="BI58" s="12">
        <f>G58*AP58</f>
        <v>0</v>
      </c>
      <c r="BJ58" s="12">
        <f>G58*H58</f>
        <v>0</v>
      </c>
    </row>
    <row r="59" spans="1:62" x14ac:dyDescent="0.25">
      <c r="A59" s="274"/>
      <c r="B59" s="274"/>
      <c r="C59" s="228"/>
      <c r="D59" s="229"/>
      <c r="E59" s="229"/>
      <c r="F59" s="274"/>
      <c r="G59" s="274"/>
      <c r="H59" s="19"/>
      <c r="I59" s="274"/>
      <c r="J59" s="274"/>
      <c r="K59" s="274"/>
      <c r="L59" s="274"/>
      <c r="M59" s="274"/>
    </row>
    <row r="60" spans="1:62" x14ac:dyDescent="0.25">
      <c r="A60" s="5"/>
      <c r="B60" s="133" t="s">
        <v>65</v>
      </c>
      <c r="C60" s="226" t="s">
        <v>444</v>
      </c>
      <c r="D60" s="227"/>
      <c r="E60" s="227"/>
      <c r="F60" s="5" t="s">
        <v>6</v>
      </c>
      <c r="G60" s="5" t="s">
        <v>6</v>
      </c>
      <c r="H60" s="18" t="s">
        <v>6</v>
      </c>
      <c r="I60" s="35">
        <f>SUM(I61:I65)</f>
        <v>0</v>
      </c>
      <c r="J60" s="35">
        <f>SUM(J61:J65)</f>
        <v>0</v>
      </c>
      <c r="K60" s="35">
        <f>SUM(K61:K65)</f>
        <v>0</v>
      </c>
      <c r="L60" s="38">
        <f>IF(K264=0,0,K60/K264)</f>
        <v>0</v>
      </c>
      <c r="M60" s="28"/>
      <c r="AI60" s="28"/>
      <c r="AS60" s="35">
        <f>SUM(AJ61:AJ65)</f>
        <v>0</v>
      </c>
      <c r="AT60" s="35">
        <f>SUM(AK61:AK65)</f>
        <v>0</v>
      </c>
      <c r="AU60" s="35">
        <f>SUM(AL61:AL65)</f>
        <v>0</v>
      </c>
    </row>
    <row r="61" spans="1:62" x14ac:dyDescent="0.25">
      <c r="A61" s="132" t="s">
        <v>37</v>
      </c>
      <c r="B61" s="132" t="s">
        <v>223</v>
      </c>
      <c r="C61" s="225" t="s">
        <v>445</v>
      </c>
      <c r="D61" s="221"/>
      <c r="E61" s="221"/>
      <c r="F61" s="132" t="s">
        <v>629</v>
      </c>
      <c r="G61" s="77">
        <v>67.2</v>
      </c>
      <c r="H61" s="17">
        <v>0</v>
      </c>
      <c r="I61" s="12">
        <f>G61*AO61</f>
        <v>0</v>
      </c>
      <c r="J61" s="12">
        <f>G61*AP61</f>
        <v>0</v>
      </c>
      <c r="K61" s="12">
        <f>G61*H61</f>
        <v>0</v>
      </c>
      <c r="L61" s="37">
        <f>IF(K264=0,0,K61/K264)</f>
        <v>0</v>
      </c>
      <c r="M61" s="27" t="s">
        <v>657</v>
      </c>
      <c r="Z61" s="32">
        <f>IF(AQ61="5",BJ61,0)</f>
        <v>0</v>
      </c>
      <c r="AB61" s="32">
        <f>IF(AQ61="1",BH61,0)</f>
        <v>0</v>
      </c>
      <c r="AC61" s="32">
        <f>IF(AQ61="1",BI61,0)</f>
        <v>0</v>
      </c>
      <c r="AD61" s="32">
        <f>IF(AQ61="7",BH61,0)</f>
        <v>0</v>
      </c>
      <c r="AE61" s="32">
        <f>IF(AQ61="7",BI61,0)</f>
        <v>0</v>
      </c>
      <c r="AF61" s="32">
        <f>IF(AQ61="2",BH61,0)</f>
        <v>0</v>
      </c>
      <c r="AG61" s="32">
        <f>IF(AQ61="2",BI61,0)</f>
        <v>0</v>
      </c>
      <c r="AH61" s="32">
        <f>IF(AQ61="0",BJ61,0)</f>
        <v>0</v>
      </c>
      <c r="AI61" s="28"/>
      <c r="AJ61" s="12">
        <f>IF(AN61=0,K61,0)</f>
        <v>0</v>
      </c>
      <c r="AK61" s="12">
        <f>IF(AN61=15,K61,0)</f>
        <v>0</v>
      </c>
      <c r="AL61" s="12">
        <f>IF(AN61=21,K61,0)</f>
        <v>0</v>
      </c>
      <c r="AN61" s="32">
        <v>21</v>
      </c>
      <c r="AO61" s="32">
        <f>H61*0.097117401925564</f>
        <v>0</v>
      </c>
      <c r="AP61" s="32">
        <f>H61*(1-0.097117401925564)</f>
        <v>0</v>
      </c>
      <c r="AQ61" s="27" t="s">
        <v>7</v>
      </c>
      <c r="AV61" s="32">
        <f>AW61+AX61</f>
        <v>0</v>
      </c>
      <c r="AW61" s="32">
        <f>G61*AO61</f>
        <v>0</v>
      </c>
      <c r="AX61" s="32">
        <f>G61*AP61</f>
        <v>0</v>
      </c>
      <c r="AY61" s="33" t="s">
        <v>677</v>
      </c>
      <c r="AZ61" s="33" t="s">
        <v>713</v>
      </c>
      <c r="BA61" s="28" t="s">
        <v>721</v>
      </c>
      <c r="BC61" s="32">
        <f>AW61+AX61</f>
        <v>0</v>
      </c>
      <c r="BD61" s="32">
        <f>H61/(100-BE61)*100</f>
        <v>0</v>
      </c>
      <c r="BE61" s="32">
        <v>0</v>
      </c>
      <c r="BF61" s="32">
        <f>64</f>
        <v>64</v>
      </c>
      <c r="BH61" s="12">
        <f>G61*AO61</f>
        <v>0</v>
      </c>
      <c r="BI61" s="12">
        <f>G61*AP61</f>
        <v>0</v>
      </c>
      <c r="BJ61" s="12">
        <f>G61*H61</f>
        <v>0</v>
      </c>
    </row>
    <row r="62" spans="1:62" x14ac:dyDescent="0.25">
      <c r="A62" s="274"/>
      <c r="B62" s="274"/>
      <c r="C62" s="228" t="s">
        <v>446</v>
      </c>
      <c r="D62" s="229"/>
      <c r="E62" s="229"/>
      <c r="F62" s="274"/>
      <c r="G62" s="274"/>
      <c r="H62" s="19"/>
      <c r="I62" s="274"/>
      <c r="J62" s="274"/>
      <c r="K62" s="274"/>
      <c r="L62" s="274"/>
      <c r="M62" s="274"/>
    </row>
    <row r="63" spans="1:62" x14ac:dyDescent="0.25">
      <c r="A63" s="137" t="s">
        <v>38</v>
      </c>
      <c r="B63" s="137" t="s">
        <v>224</v>
      </c>
      <c r="C63" s="223" t="s">
        <v>447</v>
      </c>
      <c r="D63" s="221"/>
      <c r="E63" s="224"/>
      <c r="F63" s="137" t="s">
        <v>625</v>
      </c>
      <c r="G63" s="92">
        <v>309.47199999999998</v>
      </c>
      <c r="H63" s="17">
        <v>0</v>
      </c>
      <c r="I63" s="93">
        <f>G63*AO63</f>
        <v>0</v>
      </c>
      <c r="J63" s="93">
        <f>G63*AP63</f>
        <v>0</v>
      </c>
      <c r="K63" s="93">
        <f>G63*H63</f>
        <v>0</v>
      </c>
      <c r="L63" s="94">
        <f>IF(K264=0,0,K63/K264)</f>
        <v>0</v>
      </c>
      <c r="M63" s="95" t="s">
        <v>657</v>
      </c>
      <c r="Z63" s="32">
        <f>IF(AQ63="5",BJ63,0)</f>
        <v>0</v>
      </c>
      <c r="AB63" s="32">
        <f>IF(AQ63="1",BH63,0)</f>
        <v>0</v>
      </c>
      <c r="AC63" s="32">
        <f>IF(AQ63="1",BI63,0)</f>
        <v>0</v>
      </c>
      <c r="AD63" s="32">
        <f>IF(AQ63="7",BH63,0)</f>
        <v>0</v>
      </c>
      <c r="AE63" s="32">
        <f>IF(AQ63="7",BI63,0)</f>
        <v>0</v>
      </c>
      <c r="AF63" s="32">
        <f>IF(AQ63="2",BH63,0)</f>
        <v>0</v>
      </c>
      <c r="AG63" s="32">
        <f>IF(AQ63="2",BI63,0)</f>
        <v>0</v>
      </c>
      <c r="AH63" s="32">
        <f>IF(AQ63="0",BJ63,0)</f>
        <v>0</v>
      </c>
      <c r="AI63" s="28"/>
      <c r="AJ63" s="12">
        <f>IF(AN63=0,K63,0)</f>
        <v>0</v>
      </c>
      <c r="AK63" s="12">
        <f>IF(AN63=15,K63,0)</f>
        <v>0</v>
      </c>
      <c r="AL63" s="12">
        <f>IF(AN63=21,K63,0)</f>
        <v>0</v>
      </c>
      <c r="AN63" s="32">
        <v>21</v>
      </c>
      <c r="AO63" s="32">
        <f>H63*0.13624810359746</f>
        <v>0</v>
      </c>
      <c r="AP63" s="32">
        <f>H63*(1-0.13624810359746)</f>
        <v>0</v>
      </c>
      <c r="AQ63" s="27" t="s">
        <v>7</v>
      </c>
      <c r="AV63" s="32">
        <f>AW63+AX63</f>
        <v>0</v>
      </c>
      <c r="AW63" s="32">
        <f>G63*AO63</f>
        <v>0</v>
      </c>
      <c r="AX63" s="32">
        <f>G63*AP63</f>
        <v>0</v>
      </c>
      <c r="AY63" s="33" t="s">
        <v>677</v>
      </c>
      <c r="AZ63" s="33" t="s">
        <v>713</v>
      </c>
      <c r="BA63" s="28" t="s">
        <v>721</v>
      </c>
      <c r="BC63" s="32">
        <f>AW63+AX63</f>
        <v>0</v>
      </c>
      <c r="BD63" s="32">
        <f>H63/(100-BE63)*100</f>
        <v>0</v>
      </c>
      <c r="BE63" s="32">
        <v>0</v>
      </c>
      <c r="BF63" s="32">
        <f>66</f>
        <v>66</v>
      </c>
      <c r="BH63" s="12">
        <f>G63*AO63</f>
        <v>0</v>
      </c>
      <c r="BI63" s="12">
        <f>G63*AP63</f>
        <v>0</v>
      </c>
      <c r="BJ63" s="12">
        <f>G63*H63</f>
        <v>0</v>
      </c>
    </row>
    <row r="64" spans="1:62" x14ac:dyDescent="0.25">
      <c r="A64" s="132" t="s">
        <v>39</v>
      </c>
      <c r="B64" s="132" t="s">
        <v>225</v>
      </c>
      <c r="C64" s="225" t="s">
        <v>448</v>
      </c>
      <c r="D64" s="221"/>
      <c r="E64" s="221"/>
      <c r="F64" s="132" t="s">
        <v>629</v>
      </c>
      <c r="G64" s="77">
        <v>38.32</v>
      </c>
      <c r="H64" s="17">
        <v>0</v>
      </c>
      <c r="I64" s="12">
        <f>G64*AO64</f>
        <v>0</v>
      </c>
      <c r="J64" s="12">
        <f>G64*AP64</f>
        <v>0</v>
      </c>
      <c r="K64" s="12">
        <f>G64*H64</f>
        <v>0</v>
      </c>
      <c r="L64" s="37">
        <f>IF(K264=0,0,K64/K264)</f>
        <v>0</v>
      </c>
      <c r="M64" s="27" t="s">
        <v>657</v>
      </c>
      <c r="Z64" s="32">
        <f>IF(AQ64="5",BJ64,0)</f>
        <v>0</v>
      </c>
      <c r="AB64" s="32">
        <f>IF(AQ64="1",BH64,0)</f>
        <v>0</v>
      </c>
      <c r="AC64" s="32">
        <f>IF(AQ64="1",BI64,0)</f>
        <v>0</v>
      </c>
      <c r="AD64" s="32">
        <f>IF(AQ64="7",BH64,0)</f>
        <v>0</v>
      </c>
      <c r="AE64" s="32">
        <f>IF(AQ64="7",BI64,0)</f>
        <v>0</v>
      </c>
      <c r="AF64" s="32">
        <f>IF(AQ64="2",BH64,0)</f>
        <v>0</v>
      </c>
      <c r="AG64" s="32">
        <f>IF(AQ64="2",BI64,0)</f>
        <v>0</v>
      </c>
      <c r="AH64" s="32">
        <f>IF(AQ64="0",BJ64,0)</f>
        <v>0</v>
      </c>
      <c r="AI64" s="28"/>
      <c r="AJ64" s="12">
        <f>IF(AN64=0,K64,0)</f>
        <v>0</v>
      </c>
      <c r="AK64" s="12">
        <f>IF(AN64=15,K64,0)</f>
        <v>0</v>
      </c>
      <c r="AL64" s="12">
        <f>IF(AN64=21,K64,0)</f>
        <v>0</v>
      </c>
      <c r="AN64" s="32">
        <v>21</v>
      </c>
      <c r="AO64" s="32">
        <f>H64*0.526395372856848</f>
        <v>0</v>
      </c>
      <c r="AP64" s="32">
        <f>H64*(1-0.526395372856848)</f>
        <v>0</v>
      </c>
      <c r="AQ64" s="27" t="s">
        <v>7</v>
      </c>
      <c r="AV64" s="32">
        <f>AW64+AX64</f>
        <v>0</v>
      </c>
      <c r="AW64" s="32">
        <f>G64*AO64</f>
        <v>0</v>
      </c>
      <c r="AX64" s="32">
        <f>G64*AP64</f>
        <v>0</v>
      </c>
      <c r="AY64" s="33" t="s">
        <v>677</v>
      </c>
      <c r="AZ64" s="33" t="s">
        <v>713</v>
      </c>
      <c r="BA64" s="28" t="s">
        <v>721</v>
      </c>
      <c r="BC64" s="32">
        <f>AW64+AX64</f>
        <v>0</v>
      </c>
      <c r="BD64" s="32">
        <f>H64/(100-BE64)*100</f>
        <v>0</v>
      </c>
      <c r="BE64" s="32">
        <v>0</v>
      </c>
      <c r="BF64" s="32">
        <f>67</f>
        <v>67</v>
      </c>
      <c r="BH64" s="12">
        <f>G64*AO64</f>
        <v>0</v>
      </c>
      <c r="BI64" s="12">
        <f>G64*AP64</f>
        <v>0</v>
      </c>
      <c r="BJ64" s="12">
        <f>G64*H64</f>
        <v>0</v>
      </c>
    </row>
    <row r="65" spans="1:62" x14ac:dyDescent="0.25">
      <c r="A65" s="132" t="s">
        <v>40</v>
      </c>
      <c r="B65" s="132" t="s">
        <v>226</v>
      </c>
      <c r="C65" s="225" t="s">
        <v>449</v>
      </c>
      <c r="D65" s="221"/>
      <c r="E65" s="221"/>
      <c r="F65" s="132" t="s">
        <v>625</v>
      </c>
      <c r="G65" s="77">
        <v>12.25</v>
      </c>
      <c r="H65" s="17">
        <v>0</v>
      </c>
      <c r="I65" s="12">
        <f>G65*AO65</f>
        <v>0</v>
      </c>
      <c r="J65" s="12">
        <f>G65*AP65</f>
        <v>0</v>
      </c>
      <c r="K65" s="12">
        <f>G65*H65</f>
        <v>0</v>
      </c>
      <c r="L65" s="37">
        <f>IF(K264=0,0,K65/K264)</f>
        <v>0</v>
      </c>
      <c r="M65" s="27" t="s">
        <v>657</v>
      </c>
      <c r="Z65" s="32">
        <f>IF(AQ65="5",BJ65,0)</f>
        <v>0</v>
      </c>
      <c r="AB65" s="32">
        <f>IF(AQ65="1",BH65,0)</f>
        <v>0</v>
      </c>
      <c r="AC65" s="32">
        <f>IF(AQ65="1",BI65,0)</f>
        <v>0</v>
      </c>
      <c r="AD65" s="32">
        <f>IF(AQ65="7",BH65,0)</f>
        <v>0</v>
      </c>
      <c r="AE65" s="32">
        <f>IF(AQ65="7",BI65,0)</f>
        <v>0</v>
      </c>
      <c r="AF65" s="32">
        <f>IF(AQ65="2",BH65,0)</f>
        <v>0</v>
      </c>
      <c r="AG65" s="32">
        <f>IF(AQ65="2",BI65,0)</f>
        <v>0</v>
      </c>
      <c r="AH65" s="32">
        <f>IF(AQ65="0",BJ65,0)</f>
        <v>0</v>
      </c>
      <c r="AI65" s="28"/>
      <c r="AJ65" s="12">
        <f>IF(AN65=0,K65,0)</f>
        <v>0</v>
      </c>
      <c r="AK65" s="12">
        <f>IF(AN65=15,K65,0)</f>
        <v>0</v>
      </c>
      <c r="AL65" s="12">
        <f>IF(AN65=21,K65,0)</f>
        <v>0</v>
      </c>
      <c r="AN65" s="32">
        <v>21</v>
      </c>
      <c r="AO65" s="32">
        <f>H65*0.320145631067961</f>
        <v>0</v>
      </c>
      <c r="AP65" s="32">
        <f>H65*(1-0.320145631067961)</f>
        <v>0</v>
      </c>
      <c r="AQ65" s="27" t="s">
        <v>7</v>
      </c>
      <c r="AV65" s="32">
        <f>AW65+AX65</f>
        <v>0</v>
      </c>
      <c r="AW65" s="32">
        <f>G65*AO65</f>
        <v>0</v>
      </c>
      <c r="AX65" s="32">
        <f>G65*AP65</f>
        <v>0</v>
      </c>
      <c r="AY65" s="33" t="s">
        <v>677</v>
      </c>
      <c r="AZ65" s="33" t="s">
        <v>713</v>
      </c>
      <c r="BA65" s="28" t="s">
        <v>721</v>
      </c>
      <c r="BC65" s="32">
        <f>AW65+AX65</f>
        <v>0</v>
      </c>
      <c r="BD65" s="32">
        <f>H65/(100-BE65)*100</f>
        <v>0</v>
      </c>
      <c r="BE65" s="32">
        <v>0</v>
      </c>
      <c r="BF65" s="32">
        <f>68</f>
        <v>68</v>
      </c>
      <c r="BH65" s="12">
        <f>G65*AO65</f>
        <v>0</v>
      </c>
      <c r="BI65" s="12">
        <f>G65*AP65</f>
        <v>0</v>
      </c>
      <c r="BJ65" s="12">
        <f>G65*H65</f>
        <v>0</v>
      </c>
    </row>
    <row r="66" spans="1:62" x14ac:dyDescent="0.25">
      <c r="A66" s="5"/>
      <c r="B66" s="133" t="s">
        <v>66</v>
      </c>
      <c r="C66" s="226" t="s">
        <v>450</v>
      </c>
      <c r="D66" s="227"/>
      <c r="E66" s="227"/>
      <c r="F66" s="5" t="s">
        <v>6</v>
      </c>
      <c r="G66" s="5" t="s">
        <v>6</v>
      </c>
      <c r="H66" s="18" t="s">
        <v>6</v>
      </c>
      <c r="I66" s="35">
        <f>SUM(I67:I71)</f>
        <v>0</v>
      </c>
      <c r="J66" s="35">
        <f>SUM(J67:J71)</f>
        <v>0</v>
      </c>
      <c r="K66" s="35">
        <f>SUM(K67:K71)</f>
        <v>0</v>
      </c>
      <c r="L66" s="38">
        <f>IF(K264=0,0,K66/K264)</f>
        <v>0</v>
      </c>
      <c r="M66" s="28"/>
      <c r="AI66" s="28"/>
      <c r="AS66" s="35">
        <f>SUM(AJ67:AJ71)</f>
        <v>0</v>
      </c>
      <c r="AT66" s="35">
        <f>SUM(AK67:AK71)</f>
        <v>0</v>
      </c>
      <c r="AU66" s="35">
        <f>SUM(AL67:AL71)</f>
        <v>0</v>
      </c>
    </row>
    <row r="67" spans="1:62" x14ac:dyDescent="0.25">
      <c r="A67" s="132" t="s">
        <v>41</v>
      </c>
      <c r="B67" s="132" t="s">
        <v>227</v>
      </c>
      <c r="C67" s="225" t="s">
        <v>451</v>
      </c>
      <c r="D67" s="221"/>
      <c r="E67" s="221"/>
      <c r="F67" s="132" t="s">
        <v>625</v>
      </c>
      <c r="G67" s="77">
        <v>175.56</v>
      </c>
      <c r="H67" s="17">
        <v>0</v>
      </c>
      <c r="I67" s="12">
        <f>G67*AO67</f>
        <v>0</v>
      </c>
      <c r="J67" s="12">
        <f>G67*AP67</f>
        <v>0</v>
      </c>
      <c r="K67" s="12">
        <f>G67*H67</f>
        <v>0</v>
      </c>
      <c r="L67" s="37">
        <f>IF(K264=0,0,K67/K264)</f>
        <v>0</v>
      </c>
      <c r="M67" s="27" t="s">
        <v>657</v>
      </c>
      <c r="Z67" s="32">
        <f>IF(AQ67="5",BJ67,0)</f>
        <v>0</v>
      </c>
      <c r="AB67" s="32">
        <f>IF(AQ67="1",BH67,0)</f>
        <v>0</v>
      </c>
      <c r="AC67" s="32">
        <f>IF(AQ67="1",BI67,0)</f>
        <v>0</v>
      </c>
      <c r="AD67" s="32">
        <f>IF(AQ67="7",BH67,0)</f>
        <v>0</v>
      </c>
      <c r="AE67" s="32">
        <f>IF(AQ67="7",BI67,0)</f>
        <v>0</v>
      </c>
      <c r="AF67" s="32">
        <f>IF(AQ67="2",BH67,0)</f>
        <v>0</v>
      </c>
      <c r="AG67" s="32">
        <f>IF(AQ67="2",BI67,0)</f>
        <v>0</v>
      </c>
      <c r="AH67" s="32">
        <f>IF(AQ67="0",BJ67,0)</f>
        <v>0</v>
      </c>
      <c r="AI67" s="28"/>
      <c r="AJ67" s="12">
        <f>IF(AN67=0,K67,0)</f>
        <v>0</v>
      </c>
      <c r="AK67" s="12">
        <f>IF(AN67=15,K67,0)</f>
        <v>0</v>
      </c>
      <c r="AL67" s="12">
        <f>IF(AN67=21,K67,0)</f>
        <v>0</v>
      </c>
      <c r="AN67" s="32">
        <v>21</v>
      </c>
      <c r="AO67" s="32">
        <f>H67*0.1325</f>
        <v>0</v>
      </c>
      <c r="AP67" s="32">
        <f>H67*(1-0.1325)</f>
        <v>0</v>
      </c>
      <c r="AQ67" s="27" t="s">
        <v>7</v>
      </c>
      <c r="AV67" s="32">
        <f>AW67+AX67</f>
        <v>0</v>
      </c>
      <c r="AW67" s="32">
        <f>G67*AO67</f>
        <v>0</v>
      </c>
      <c r="AX67" s="32">
        <f>G67*AP67</f>
        <v>0</v>
      </c>
      <c r="AY67" s="33" t="s">
        <v>678</v>
      </c>
      <c r="AZ67" s="33" t="s">
        <v>713</v>
      </c>
      <c r="BA67" s="28" t="s">
        <v>721</v>
      </c>
      <c r="BC67" s="32">
        <f>AW67+AX67</f>
        <v>0</v>
      </c>
      <c r="BD67" s="32">
        <f>H67/(100-BE67)*100</f>
        <v>0</v>
      </c>
      <c r="BE67" s="32">
        <v>0</v>
      </c>
      <c r="BF67" s="32">
        <f>70</f>
        <v>70</v>
      </c>
      <c r="BH67" s="12">
        <f>G67*AO67</f>
        <v>0</v>
      </c>
      <c r="BI67" s="12">
        <f>G67*AP67</f>
        <v>0</v>
      </c>
      <c r="BJ67" s="12">
        <f>G67*H67</f>
        <v>0</v>
      </c>
    </row>
    <row r="68" spans="1:62" x14ac:dyDescent="0.25">
      <c r="A68" s="132" t="s">
        <v>42</v>
      </c>
      <c r="B68" s="132" t="s">
        <v>228</v>
      </c>
      <c r="C68" s="225" t="s">
        <v>1122</v>
      </c>
      <c r="D68" s="221"/>
      <c r="E68" s="221"/>
      <c r="F68" s="132" t="s">
        <v>625</v>
      </c>
      <c r="G68" s="77">
        <v>135.05600000000001</v>
      </c>
      <c r="H68" s="17">
        <v>0</v>
      </c>
      <c r="I68" s="12">
        <f>G68*AO68</f>
        <v>0</v>
      </c>
      <c r="J68" s="12">
        <f>G68*AP68</f>
        <v>0</v>
      </c>
      <c r="K68" s="12">
        <f>G68*H68</f>
        <v>0</v>
      </c>
      <c r="L68" s="37">
        <f>IF(K264=0,0,K68/K264)</f>
        <v>0</v>
      </c>
      <c r="M68" s="27" t="s">
        <v>657</v>
      </c>
      <c r="Z68" s="32">
        <f>IF(AQ68="5",BJ68,0)</f>
        <v>0</v>
      </c>
      <c r="AB68" s="32">
        <f>IF(AQ68="1",BH68,0)</f>
        <v>0</v>
      </c>
      <c r="AC68" s="32">
        <f>IF(AQ68="1",BI68,0)</f>
        <v>0</v>
      </c>
      <c r="AD68" s="32">
        <f>IF(AQ68="7",BH68,0)</f>
        <v>0</v>
      </c>
      <c r="AE68" s="32">
        <f>IF(AQ68="7",BI68,0)</f>
        <v>0</v>
      </c>
      <c r="AF68" s="32">
        <f>IF(AQ68="2",BH68,0)</f>
        <v>0</v>
      </c>
      <c r="AG68" s="32">
        <f>IF(AQ68="2",BI68,0)</f>
        <v>0</v>
      </c>
      <c r="AH68" s="32">
        <f>IF(AQ68="0",BJ68,0)</f>
        <v>0</v>
      </c>
      <c r="AI68" s="28"/>
      <c r="AJ68" s="12">
        <f>IF(AN68=0,K68,0)</f>
        <v>0</v>
      </c>
      <c r="AK68" s="12">
        <f>IF(AN68=15,K68,0)</f>
        <v>0</v>
      </c>
      <c r="AL68" s="12">
        <f>IF(AN68=21,K68,0)</f>
        <v>0</v>
      </c>
      <c r="AN68" s="32">
        <v>21</v>
      </c>
      <c r="AO68" s="32">
        <f>H68*0.478718766701315</f>
        <v>0</v>
      </c>
      <c r="AP68" s="32">
        <f>H68*(1-0.478718766701315)</f>
        <v>0</v>
      </c>
      <c r="AQ68" s="27" t="s">
        <v>7</v>
      </c>
      <c r="AV68" s="32">
        <f>AW68+AX68</f>
        <v>0</v>
      </c>
      <c r="AW68" s="32">
        <f>G68*AO68</f>
        <v>0</v>
      </c>
      <c r="AX68" s="32">
        <f>G68*AP68</f>
        <v>0</v>
      </c>
      <c r="AY68" s="33" t="s">
        <v>678</v>
      </c>
      <c r="AZ68" s="33" t="s">
        <v>713</v>
      </c>
      <c r="BA68" s="28" t="s">
        <v>721</v>
      </c>
      <c r="BC68" s="32">
        <f>AW68+AX68</f>
        <v>0</v>
      </c>
      <c r="BD68" s="32">
        <f>H68/(100-BE68)*100</f>
        <v>0</v>
      </c>
      <c r="BE68" s="32">
        <v>0</v>
      </c>
      <c r="BF68" s="32">
        <f>71</f>
        <v>71</v>
      </c>
      <c r="BH68" s="12">
        <f>G68*AO68</f>
        <v>0</v>
      </c>
      <c r="BI68" s="12">
        <f>G68*AP68</f>
        <v>0</v>
      </c>
      <c r="BJ68" s="12">
        <f>G68*H68</f>
        <v>0</v>
      </c>
    </row>
    <row r="69" spans="1:62" x14ac:dyDescent="0.25">
      <c r="A69" s="132" t="s">
        <v>43</v>
      </c>
      <c r="B69" s="132" t="s">
        <v>229</v>
      </c>
      <c r="C69" s="225" t="s">
        <v>1123</v>
      </c>
      <c r="D69" s="221"/>
      <c r="E69" s="221"/>
      <c r="F69" s="132" t="s">
        <v>625</v>
      </c>
      <c r="G69" s="77">
        <v>24.704000000000001</v>
      </c>
      <c r="H69" s="17">
        <v>0</v>
      </c>
      <c r="I69" s="12">
        <f>G69*AO69</f>
        <v>0</v>
      </c>
      <c r="J69" s="12">
        <f>G69*AP69</f>
        <v>0</v>
      </c>
      <c r="K69" s="12">
        <f>G69*H69</f>
        <v>0</v>
      </c>
      <c r="L69" s="37">
        <f>IF(K264=0,0,K69/K264)</f>
        <v>0</v>
      </c>
      <c r="M69" s="27" t="s">
        <v>657</v>
      </c>
      <c r="Z69" s="32">
        <f>IF(AQ69="5",BJ69,0)</f>
        <v>0</v>
      </c>
      <c r="AB69" s="32">
        <f>IF(AQ69="1",BH69,0)</f>
        <v>0</v>
      </c>
      <c r="AC69" s="32">
        <f>IF(AQ69="1",BI69,0)</f>
        <v>0</v>
      </c>
      <c r="AD69" s="32">
        <f>IF(AQ69="7",BH69,0)</f>
        <v>0</v>
      </c>
      <c r="AE69" s="32">
        <f>IF(AQ69="7",BI69,0)</f>
        <v>0</v>
      </c>
      <c r="AF69" s="32">
        <f>IF(AQ69="2",BH69,0)</f>
        <v>0</v>
      </c>
      <c r="AG69" s="32">
        <f>IF(AQ69="2",BI69,0)</f>
        <v>0</v>
      </c>
      <c r="AH69" s="32">
        <f>IF(AQ69="0",BJ69,0)</f>
        <v>0</v>
      </c>
      <c r="AI69" s="28"/>
      <c r="AJ69" s="12">
        <f>IF(AN69=0,K69,0)</f>
        <v>0</v>
      </c>
      <c r="AK69" s="12">
        <f>IF(AN69=15,K69,0)</f>
        <v>0</v>
      </c>
      <c r="AL69" s="12">
        <f>IF(AN69=21,K69,0)</f>
        <v>0</v>
      </c>
      <c r="AN69" s="32">
        <v>21</v>
      </c>
      <c r="AO69" s="32">
        <f>H69*0.541863605958692</f>
        <v>0</v>
      </c>
      <c r="AP69" s="32">
        <f>H69*(1-0.541863605958692)</f>
        <v>0</v>
      </c>
      <c r="AQ69" s="27" t="s">
        <v>7</v>
      </c>
      <c r="AV69" s="32">
        <f>AW69+AX69</f>
        <v>0</v>
      </c>
      <c r="AW69" s="32">
        <f>G69*AO69</f>
        <v>0</v>
      </c>
      <c r="AX69" s="32">
        <f>G69*AP69</f>
        <v>0</v>
      </c>
      <c r="AY69" s="33" t="s">
        <v>678</v>
      </c>
      <c r="AZ69" s="33" t="s">
        <v>713</v>
      </c>
      <c r="BA69" s="28" t="s">
        <v>721</v>
      </c>
      <c r="BC69" s="32">
        <f>AW69+AX69</f>
        <v>0</v>
      </c>
      <c r="BD69" s="32">
        <f>H69/(100-BE69)*100</f>
        <v>0</v>
      </c>
      <c r="BE69" s="32">
        <v>0</v>
      </c>
      <c r="BF69" s="32">
        <f>73</f>
        <v>73</v>
      </c>
      <c r="BH69" s="12">
        <f>G69*AO69</f>
        <v>0</v>
      </c>
      <c r="BI69" s="12">
        <f>G69*AP69</f>
        <v>0</v>
      </c>
      <c r="BJ69" s="12">
        <f>G69*H69</f>
        <v>0</v>
      </c>
    </row>
    <row r="70" spans="1:62" x14ac:dyDescent="0.25">
      <c r="A70" s="132" t="s">
        <v>44</v>
      </c>
      <c r="B70" s="132" t="s">
        <v>230</v>
      </c>
      <c r="C70" s="225" t="s">
        <v>452</v>
      </c>
      <c r="D70" s="221"/>
      <c r="E70" s="221"/>
      <c r="F70" s="132" t="s">
        <v>629</v>
      </c>
      <c r="G70" s="77">
        <v>38.32</v>
      </c>
      <c r="H70" s="17">
        <v>0</v>
      </c>
      <c r="I70" s="12">
        <f>G70*AO70</f>
        <v>0</v>
      </c>
      <c r="J70" s="12">
        <f>G70*AP70</f>
        <v>0</v>
      </c>
      <c r="K70" s="12">
        <f>G70*H70</f>
        <v>0</v>
      </c>
      <c r="L70" s="37">
        <f>IF(K264=0,0,K70/K264)</f>
        <v>0</v>
      </c>
      <c r="M70" s="27" t="s">
        <v>657</v>
      </c>
      <c r="Z70" s="32">
        <f>IF(AQ70="5",BJ70,0)</f>
        <v>0</v>
      </c>
      <c r="AB70" s="32">
        <f>IF(AQ70="1",BH70,0)</f>
        <v>0</v>
      </c>
      <c r="AC70" s="32">
        <f>IF(AQ70="1",BI70,0)</f>
        <v>0</v>
      </c>
      <c r="AD70" s="32">
        <f>IF(AQ70="7",BH70,0)</f>
        <v>0</v>
      </c>
      <c r="AE70" s="32">
        <f>IF(AQ70="7",BI70,0)</f>
        <v>0</v>
      </c>
      <c r="AF70" s="32">
        <f>IF(AQ70="2",BH70,0)</f>
        <v>0</v>
      </c>
      <c r="AG70" s="32">
        <f>IF(AQ70="2",BI70,0)</f>
        <v>0</v>
      </c>
      <c r="AH70" s="32">
        <f>IF(AQ70="0",BJ70,0)</f>
        <v>0</v>
      </c>
      <c r="AI70" s="28"/>
      <c r="AJ70" s="12">
        <f>IF(AN70=0,K70,0)</f>
        <v>0</v>
      </c>
      <c r="AK70" s="12">
        <f>IF(AN70=15,K70,0)</f>
        <v>0</v>
      </c>
      <c r="AL70" s="12">
        <f>IF(AN70=21,K70,0)</f>
        <v>0</v>
      </c>
      <c r="AN70" s="32">
        <v>21</v>
      </c>
      <c r="AO70" s="32">
        <f>H70*0.526395372856848</f>
        <v>0</v>
      </c>
      <c r="AP70" s="32">
        <f>H70*(1-0.526395372856848)</f>
        <v>0</v>
      </c>
      <c r="AQ70" s="27" t="s">
        <v>7</v>
      </c>
      <c r="AV70" s="32">
        <f>AW70+AX70</f>
        <v>0</v>
      </c>
      <c r="AW70" s="32">
        <f>G70*AO70</f>
        <v>0</v>
      </c>
      <c r="AX70" s="32">
        <f>G70*AP70</f>
        <v>0</v>
      </c>
      <c r="AY70" s="33" t="s">
        <v>678</v>
      </c>
      <c r="AZ70" s="33" t="s">
        <v>713</v>
      </c>
      <c r="BA70" s="28" t="s">
        <v>721</v>
      </c>
      <c r="BC70" s="32">
        <f>AW70+AX70</f>
        <v>0</v>
      </c>
      <c r="BD70" s="32">
        <f>H70/(100-BE70)*100</f>
        <v>0</v>
      </c>
      <c r="BE70" s="32">
        <v>0</v>
      </c>
      <c r="BF70" s="32">
        <f>74</f>
        <v>74</v>
      </c>
      <c r="BH70" s="12">
        <f>G70*AO70</f>
        <v>0</v>
      </c>
      <c r="BI70" s="12">
        <f>G70*AP70</f>
        <v>0</v>
      </c>
      <c r="BJ70" s="12">
        <f>G70*H70</f>
        <v>0</v>
      </c>
    </row>
    <row r="71" spans="1:62" x14ac:dyDescent="0.25">
      <c r="A71" s="132" t="s">
        <v>45</v>
      </c>
      <c r="B71" s="132" t="s">
        <v>231</v>
      </c>
      <c r="C71" s="225" t="s">
        <v>453</v>
      </c>
      <c r="D71" s="221"/>
      <c r="E71" s="221"/>
      <c r="F71" s="132" t="s">
        <v>625</v>
      </c>
      <c r="G71" s="77">
        <v>12.25</v>
      </c>
      <c r="H71" s="17">
        <v>0</v>
      </c>
      <c r="I71" s="12">
        <f>G71*AO71</f>
        <v>0</v>
      </c>
      <c r="J71" s="12">
        <f>G71*AP71</f>
        <v>0</v>
      </c>
      <c r="K71" s="12">
        <f>G71*H71</f>
        <v>0</v>
      </c>
      <c r="L71" s="37">
        <f>IF(K264=0,0,K71/K264)</f>
        <v>0</v>
      </c>
      <c r="M71" s="27" t="s">
        <v>657</v>
      </c>
      <c r="Z71" s="32">
        <f>IF(AQ71="5",BJ71,0)</f>
        <v>0</v>
      </c>
      <c r="AB71" s="32">
        <f>IF(AQ71="1",BH71,0)</f>
        <v>0</v>
      </c>
      <c r="AC71" s="32">
        <f>IF(AQ71="1",BI71,0)</f>
        <v>0</v>
      </c>
      <c r="AD71" s="32">
        <f>IF(AQ71="7",BH71,0)</f>
        <v>0</v>
      </c>
      <c r="AE71" s="32">
        <f>IF(AQ71="7",BI71,0)</f>
        <v>0</v>
      </c>
      <c r="AF71" s="32">
        <f>IF(AQ71="2",BH71,0)</f>
        <v>0</v>
      </c>
      <c r="AG71" s="32">
        <f>IF(AQ71="2",BI71,0)</f>
        <v>0</v>
      </c>
      <c r="AH71" s="32">
        <f>IF(AQ71="0",BJ71,0)</f>
        <v>0</v>
      </c>
      <c r="AI71" s="28"/>
      <c r="AJ71" s="12">
        <f>IF(AN71=0,K71,0)</f>
        <v>0</v>
      </c>
      <c r="AK71" s="12">
        <f>IF(AN71=15,K71,0)</f>
        <v>0</v>
      </c>
      <c r="AL71" s="12">
        <f>IF(AN71=21,K71,0)</f>
        <v>0</v>
      </c>
      <c r="AN71" s="32">
        <v>21</v>
      </c>
      <c r="AO71" s="32">
        <f>H71*0.320145631067961</f>
        <v>0</v>
      </c>
      <c r="AP71" s="32">
        <f>H71*(1-0.320145631067961)</f>
        <v>0</v>
      </c>
      <c r="AQ71" s="27" t="s">
        <v>7</v>
      </c>
      <c r="AV71" s="32">
        <f>AW71+AX71</f>
        <v>0</v>
      </c>
      <c r="AW71" s="32">
        <f>G71*AO71</f>
        <v>0</v>
      </c>
      <c r="AX71" s="32">
        <f>G71*AP71</f>
        <v>0</v>
      </c>
      <c r="AY71" s="33" t="s">
        <v>678</v>
      </c>
      <c r="AZ71" s="33" t="s">
        <v>713</v>
      </c>
      <c r="BA71" s="28" t="s">
        <v>721</v>
      </c>
      <c r="BC71" s="32">
        <f>AW71+AX71</f>
        <v>0</v>
      </c>
      <c r="BD71" s="32">
        <f>H71/(100-BE71)*100</f>
        <v>0</v>
      </c>
      <c r="BE71" s="32">
        <v>0</v>
      </c>
      <c r="BF71" s="32">
        <f>75</f>
        <v>75</v>
      </c>
      <c r="BH71" s="12">
        <f>G71*AO71</f>
        <v>0</v>
      </c>
      <c r="BI71" s="12">
        <f>G71*AP71</f>
        <v>0</v>
      </c>
      <c r="BJ71" s="12">
        <f>G71*H71</f>
        <v>0</v>
      </c>
    </row>
    <row r="72" spans="1:62" x14ac:dyDescent="0.25">
      <c r="A72" s="5"/>
      <c r="B72" s="133" t="s">
        <v>67</v>
      </c>
      <c r="C72" s="226" t="s">
        <v>454</v>
      </c>
      <c r="D72" s="227"/>
      <c r="E72" s="227"/>
      <c r="F72" s="5" t="s">
        <v>6</v>
      </c>
      <c r="G72" s="5" t="s">
        <v>6</v>
      </c>
      <c r="H72" s="18" t="s">
        <v>6</v>
      </c>
      <c r="I72" s="35">
        <f>SUM(I73:I76)</f>
        <v>0</v>
      </c>
      <c r="J72" s="35">
        <f>SUM(J73:J76)</f>
        <v>0</v>
      </c>
      <c r="K72" s="35">
        <f>SUM(K73:K76)</f>
        <v>0</v>
      </c>
      <c r="L72" s="38">
        <f>IF(K264=0,0,K72/K264)</f>
        <v>0</v>
      </c>
      <c r="M72" s="28"/>
      <c r="AI72" s="28"/>
      <c r="AS72" s="35">
        <f>SUM(AJ73:AJ76)</f>
        <v>0</v>
      </c>
      <c r="AT72" s="35">
        <f>SUM(AK73:AK76)</f>
        <v>0</v>
      </c>
      <c r="AU72" s="35">
        <f>SUM(AL73:AL76)</f>
        <v>0</v>
      </c>
    </row>
    <row r="73" spans="1:62" x14ac:dyDescent="0.25">
      <c r="A73" s="136" t="s">
        <v>46</v>
      </c>
      <c r="B73" s="136" t="s">
        <v>232</v>
      </c>
      <c r="C73" s="220" t="s">
        <v>455</v>
      </c>
      <c r="D73" s="221"/>
      <c r="E73" s="222"/>
      <c r="F73" s="136" t="s">
        <v>626</v>
      </c>
      <c r="G73" s="88">
        <v>1.319</v>
      </c>
      <c r="H73" s="17">
        <v>0</v>
      </c>
      <c r="I73" s="89">
        <v>0</v>
      </c>
      <c r="J73" s="89">
        <f>G73*AP73</f>
        <v>0</v>
      </c>
      <c r="K73" s="89">
        <f>G73*H73</f>
        <v>0</v>
      </c>
      <c r="L73" s="90">
        <f>IF(K264=0,0,K73/K264)</f>
        <v>0</v>
      </c>
      <c r="M73" s="91" t="s">
        <v>657</v>
      </c>
      <c r="Z73" s="32">
        <f>IF(AQ73="5",BJ73,0)</f>
        <v>0</v>
      </c>
      <c r="AB73" s="32">
        <f>IF(AQ73="1",BH73,0)</f>
        <v>0</v>
      </c>
      <c r="AC73" s="32">
        <f>IF(AQ73="1",BI73,0)</f>
        <v>0</v>
      </c>
      <c r="AD73" s="32">
        <f>IF(AQ73="7",BH73,0)</f>
        <v>0</v>
      </c>
      <c r="AE73" s="32">
        <f>IF(AQ73="7",BI73,0)</f>
        <v>0</v>
      </c>
      <c r="AF73" s="32">
        <f>IF(AQ73="2",BH73,0)</f>
        <v>0</v>
      </c>
      <c r="AG73" s="32">
        <f>IF(AQ73="2",BI73,0)</f>
        <v>0</v>
      </c>
      <c r="AH73" s="32">
        <f>IF(AQ73="0",BJ73,0)</f>
        <v>0</v>
      </c>
      <c r="AI73" s="28"/>
      <c r="AJ73" s="12">
        <f>IF(AN73=0,K73,0)</f>
        <v>0</v>
      </c>
      <c r="AK73" s="12">
        <f>IF(AN73=15,K73,0)</f>
        <v>0</v>
      </c>
      <c r="AL73" s="12">
        <f>IF(AN73=21,K73,0)</f>
        <v>0</v>
      </c>
      <c r="AN73" s="32">
        <v>21</v>
      </c>
      <c r="AO73" s="32">
        <f>H73*0.717445072610271</f>
        <v>0</v>
      </c>
      <c r="AP73" s="32">
        <f>H73*(1-0.717445072610271)</f>
        <v>0</v>
      </c>
      <c r="AQ73" s="27" t="s">
        <v>7</v>
      </c>
      <c r="AV73" s="32">
        <f>AW73+AX73</f>
        <v>0</v>
      </c>
      <c r="AW73" s="32">
        <f>G73*AO73</f>
        <v>0</v>
      </c>
      <c r="AX73" s="32">
        <f>G73*AP73</f>
        <v>0</v>
      </c>
      <c r="AY73" s="33" t="s">
        <v>679</v>
      </c>
      <c r="AZ73" s="33" t="s">
        <v>713</v>
      </c>
      <c r="BA73" s="28" t="s">
        <v>721</v>
      </c>
      <c r="BC73" s="32">
        <f>AW73+AX73</f>
        <v>0</v>
      </c>
      <c r="BD73" s="32">
        <f>H73/(100-BE73)*100</f>
        <v>0</v>
      </c>
      <c r="BE73" s="32">
        <v>0</v>
      </c>
      <c r="BF73" s="32">
        <f>77</f>
        <v>77</v>
      </c>
      <c r="BH73" s="12">
        <f>G73*AO73</f>
        <v>0</v>
      </c>
      <c r="BI73" s="12">
        <f>G73*AP73</f>
        <v>0</v>
      </c>
      <c r="BJ73" s="12">
        <f>G73*H73</f>
        <v>0</v>
      </c>
    </row>
    <row r="74" spans="1:62" x14ac:dyDescent="0.25">
      <c r="A74" s="137" t="s">
        <v>47</v>
      </c>
      <c r="B74" s="137" t="s">
        <v>233</v>
      </c>
      <c r="C74" s="223" t="s">
        <v>456</v>
      </c>
      <c r="D74" s="221"/>
      <c r="E74" s="224"/>
      <c r="F74" s="137" t="s">
        <v>627</v>
      </c>
      <c r="G74" s="92">
        <v>5.8000000000000003E-2</v>
      </c>
      <c r="H74" s="17">
        <v>0</v>
      </c>
      <c r="I74" s="93">
        <f>G74*AO74</f>
        <v>0</v>
      </c>
      <c r="J74" s="93">
        <f>G74*AP74</f>
        <v>0</v>
      </c>
      <c r="K74" s="93">
        <f>G74*H74</f>
        <v>0</v>
      </c>
      <c r="L74" s="94">
        <f>IF(K264=0,0,K74/K264)</f>
        <v>0</v>
      </c>
      <c r="M74" s="95" t="s">
        <v>657</v>
      </c>
      <c r="Z74" s="32">
        <f>IF(AQ74="5",BJ74,0)</f>
        <v>0</v>
      </c>
      <c r="AB74" s="32">
        <f>IF(AQ74="1",BH74,0)</f>
        <v>0</v>
      </c>
      <c r="AC74" s="32">
        <f>IF(AQ74="1",BI74,0)</f>
        <v>0</v>
      </c>
      <c r="AD74" s="32">
        <f>IF(AQ74="7",BH74,0)</f>
        <v>0</v>
      </c>
      <c r="AE74" s="32">
        <f>IF(AQ74="7",BI74,0)</f>
        <v>0</v>
      </c>
      <c r="AF74" s="32">
        <f>IF(AQ74="2",BH74,0)</f>
        <v>0</v>
      </c>
      <c r="AG74" s="32">
        <f>IF(AQ74="2",BI74,0)</f>
        <v>0</v>
      </c>
      <c r="AH74" s="32">
        <f>IF(AQ74="0",BJ74,0)</f>
        <v>0</v>
      </c>
      <c r="AI74" s="28"/>
      <c r="AJ74" s="12">
        <f>IF(AN74=0,K74,0)</f>
        <v>0</v>
      </c>
      <c r="AK74" s="12">
        <f>IF(AN74=15,K74,0)</f>
        <v>0</v>
      </c>
      <c r="AL74" s="12">
        <f>IF(AN74=21,K74,0)</f>
        <v>0</v>
      </c>
      <c r="AN74" s="32">
        <v>21</v>
      </c>
      <c r="AO74" s="32">
        <f>H74*0.814715219342237</f>
        <v>0</v>
      </c>
      <c r="AP74" s="32">
        <f>H74*(1-0.814715219342237)</f>
        <v>0</v>
      </c>
      <c r="AQ74" s="27" t="s">
        <v>7</v>
      </c>
      <c r="AV74" s="32">
        <f>AW74+AX74</f>
        <v>0</v>
      </c>
      <c r="AW74" s="32">
        <f>G74*AO74</f>
        <v>0</v>
      </c>
      <c r="AX74" s="32">
        <f>G74*AP74</f>
        <v>0</v>
      </c>
      <c r="AY74" s="33" t="s">
        <v>679</v>
      </c>
      <c r="AZ74" s="33" t="s">
        <v>713</v>
      </c>
      <c r="BA74" s="28" t="s">
        <v>721</v>
      </c>
      <c r="BC74" s="32">
        <f>AW74+AX74</f>
        <v>0</v>
      </c>
      <c r="BD74" s="32">
        <f>H74/(100-BE74)*100</f>
        <v>0</v>
      </c>
      <c r="BE74" s="32">
        <v>0</v>
      </c>
      <c r="BF74" s="32">
        <f>78</f>
        <v>78</v>
      </c>
      <c r="BH74" s="12">
        <f>G74*AO74</f>
        <v>0</v>
      </c>
      <c r="BI74" s="12">
        <f>G74*AP74</f>
        <v>0</v>
      </c>
      <c r="BJ74" s="12">
        <f>G74*H74</f>
        <v>0</v>
      </c>
    </row>
    <row r="75" spans="1:62" x14ac:dyDescent="0.25">
      <c r="A75" s="280"/>
      <c r="B75" s="280"/>
      <c r="C75" s="228" t="s">
        <v>457</v>
      </c>
      <c r="D75" s="229"/>
      <c r="E75" s="229"/>
      <c r="F75" s="280"/>
      <c r="G75" s="280"/>
      <c r="H75" s="1"/>
      <c r="I75" s="280"/>
      <c r="J75" s="280"/>
      <c r="K75" s="280"/>
      <c r="L75" s="280"/>
      <c r="M75" s="280"/>
    </row>
    <row r="76" spans="1:62" x14ac:dyDescent="0.25">
      <c r="A76" s="137" t="s">
        <v>48</v>
      </c>
      <c r="B76" s="137" t="s">
        <v>234</v>
      </c>
      <c r="C76" s="223" t="s">
        <v>458</v>
      </c>
      <c r="D76" s="221"/>
      <c r="E76" s="224"/>
      <c r="F76" s="137" t="s">
        <v>629</v>
      </c>
      <c r="G76" s="92">
        <v>14.59</v>
      </c>
      <c r="H76" s="17">
        <v>0</v>
      </c>
      <c r="I76" s="93">
        <f>G76*AO76</f>
        <v>0</v>
      </c>
      <c r="J76" s="93">
        <f>G76*AP76</f>
        <v>0</v>
      </c>
      <c r="K76" s="93">
        <f>G76*H76</f>
        <v>0</v>
      </c>
      <c r="L76" s="94">
        <f>IF(K264=0,0,K76/K264)</f>
        <v>0</v>
      </c>
      <c r="M76" s="95" t="s">
        <v>657</v>
      </c>
      <c r="Z76" s="32">
        <f>IF(AQ76="5",BJ76,0)</f>
        <v>0</v>
      </c>
      <c r="AB76" s="32">
        <f>IF(AQ76="1",BH76,0)</f>
        <v>0</v>
      </c>
      <c r="AC76" s="32">
        <f>IF(AQ76="1",BI76,0)</f>
        <v>0</v>
      </c>
      <c r="AD76" s="32">
        <f>IF(AQ76="7",BH76,0)</f>
        <v>0</v>
      </c>
      <c r="AE76" s="32">
        <f>IF(AQ76="7",BI76,0)</f>
        <v>0</v>
      </c>
      <c r="AF76" s="32">
        <f>IF(AQ76="2",BH76,0)</f>
        <v>0</v>
      </c>
      <c r="AG76" s="32">
        <f>IF(AQ76="2",BI76,0)</f>
        <v>0</v>
      </c>
      <c r="AH76" s="32">
        <f>IF(AQ76="0",BJ76,0)</f>
        <v>0</v>
      </c>
      <c r="AI76" s="28"/>
      <c r="AJ76" s="12">
        <f>IF(AN76=0,K76,0)</f>
        <v>0</v>
      </c>
      <c r="AK76" s="12">
        <f>IF(AN76=15,K76,0)</f>
        <v>0</v>
      </c>
      <c r="AL76" s="12">
        <f>IF(AN76=21,K76,0)</f>
        <v>0</v>
      </c>
      <c r="AN76" s="32">
        <v>21</v>
      </c>
      <c r="AO76" s="32">
        <f>H76*0.541730926740482</f>
        <v>0</v>
      </c>
      <c r="AP76" s="32">
        <f>H76*(1-0.541730926740482)</f>
        <v>0</v>
      </c>
      <c r="AQ76" s="27" t="s">
        <v>7</v>
      </c>
      <c r="AV76" s="32">
        <f>AW76+AX76</f>
        <v>0</v>
      </c>
      <c r="AW76" s="32">
        <f>G76*AO76</f>
        <v>0</v>
      </c>
      <c r="AX76" s="32">
        <f>G76*AP76</f>
        <v>0</v>
      </c>
      <c r="AY76" s="33" t="s">
        <v>679</v>
      </c>
      <c r="AZ76" s="33" t="s">
        <v>713</v>
      </c>
      <c r="BA76" s="28" t="s">
        <v>721</v>
      </c>
      <c r="BC76" s="32">
        <f>AW76+AX76</f>
        <v>0</v>
      </c>
      <c r="BD76" s="32">
        <f>H76/(100-BE76)*100</f>
        <v>0</v>
      </c>
      <c r="BE76" s="32">
        <v>0</v>
      </c>
      <c r="BF76" s="32">
        <f>80</f>
        <v>80</v>
      </c>
      <c r="BH76" s="12">
        <f>G76*AO76</f>
        <v>0</v>
      </c>
      <c r="BI76" s="12">
        <f>G76*AP76</f>
        <v>0</v>
      </c>
      <c r="BJ76" s="12">
        <f>G76*H76</f>
        <v>0</v>
      </c>
    </row>
    <row r="77" spans="1:62" x14ac:dyDescent="0.25">
      <c r="A77" s="274"/>
      <c r="B77" s="274"/>
      <c r="C77" s="228" t="s">
        <v>1124</v>
      </c>
      <c r="D77" s="229"/>
      <c r="E77" s="229"/>
      <c r="F77" s="274"/>
      <c r="G77" s="274"/>
      <c r="H77" s="19"/>
      <c r="I77" s="274"/>
      <c r="J77" s="274"/>
      <c r="K77" s="274"/>
      <c r="L77" s="274"/>
      <c r="M77" s="274"/>
    </row>
    <row r="78" spans="1:62" x14ac:dyDescent="0.25">
      <c r="A78" s="5"/>
      <c r="B78" s="133" t="s">
        <v>68</v>
      </c>
      <c r="C78" s="226" t="s">
        <v>459</v>
      </c>
      <c r="D78" s="227"/>
      <c r="E78" s="227"/>
      <c r="F78" s="5" t="s">
        <v>6</v>
      </c>
      <c r="G78" s="5" t="s">
        <v>6</v>
      </c>
      <c r="H78" s="18" t="s">
        <v>6</v>
      </c>
      <c r="I78" s="35">
        <f>SUM(I79:I79)</f>
        <v>0</v>
      </c>
      <c r="J78" s="35">
        <f>SUM(J79:J79)</f>
        <v>0</v>
      </c>
      <c r="K78" s="35">
        <f>SUM(K79:K79)</f>
        <v>0</v>
      </c>
      <c r="L78" s="38">
        <f>IF(K264=0,0,K78/K264)</f>
        <v>0</v>
      </c>
      <c r="M78" s="28"/>
      <c r="AI78" s="28"/>
      <c r="AS78" s="35">
        <f>SUM(AJ79:AJ79)</f>
        <v>0</v>
      </c>
      <c r="AT78" s="35">
        <f>SUM(AK79:AK79)</f>
        <v>0</v>
      </c>
      <c r="AU78" s="35">
        <f>SUM(AL79:AL79)</f>
        <v>0</v>
      </c>
    </row>
    <row r="79" spans="1:62" x14ac:dyDescent="0.25">
      <c r="A79" s="132" t="s">
        <v>49</v>
      </c>
      <c r="B79" s="132" t="s">
        <v>235</v>
      </c>
      <c r="C79" s="225" t="s">
        <v>460</v>
      </c>
      <c r="D79" s="221"/>
      <c r="E79" s="221"/>
      <c r="F79" s="132" t="s">
        <v>629</v>
      </c>
      <c r="G79" s="77">
        <v>6.9</v>
      </c>
      <c r="H79" s="17">
        <v>0</v>
      </c>
      <c r="I79" s="12">
        <f>G79*AO79</f>
        <v>0</v>
      </c>
      <c r="J79" s="12">
        <f>G79*AP79</f>
        <v>0</v>
      </c>
      <c r="K79" s="12">
        <f>G79*H79</f>
        <v>0</v>
      </c>
      <c r="L79" s="37">
        <f>IF(K264=0,0,K79/K264)</f>
        <v>0</v>
      </c>
      <c r="M79" s="27" t="s">
        <v>657</v>
      </c>
      <c r="Z79" s="32">
        <f>IF(AQ79="5",BJ79,0)</f>
        <v>0</v>
      </c>
      <c r="AB79" s="32">
        <f>IF(AQ79="1",BH79,0)</f>
        <v>0</v>
      </c>
      <c r="AC79" s="32">
        <f>IF(AQ79="1",BI79,0)</f>
        <v>0</v>
      </c>
      <c r="AD79" s="32">
        <f>IF(AQ79="7",BH79,0)</f>
        <v>0</v>
      </c>
      <c r="AE79" s="32">
        <f>IF(AQ79="7",BI79,0)</f>
        <v>0</v>
      </c>
      <c r="AF79" s="32">
        <f>IF(AQ79="2",BH79,0)</f>
        <v>0</v>
      </c>
      <c r="AG79" s="32">
        <f>IF(AQ79="2",BI79,0)</f>
        <v>0</v>
      </c>
      <c r="AH79" s="32">
        <f>IF(AQ79="0",BJ79,0)</f>
        <v>0</v>
      </c>
      <c r="AI79" s="28"/>
      <c r="AJ79" s="12">
        <f>IF(AN79=0,K79,0)</f>
        <v>0</v>
      </c>
      <c r="AK79" s="12">
        <f>IF(AN79=15,K79,0)</f>
        <v>0</v>
      </c>
      <c r="AL79" s="12">
        <f>IF(AN79=21,K79,0)</f>
        <v>0</v>
      </c>
      <c r="AN79" s="32">
        <v>21</v>
      </c>
      <c r="AO79" s="32">
        <f>H79*0.511511627906977</f>
        <v>0</v>
      </c>
      <c r="AP79" s="32">
        <f>H79*(1-0.511511627906977)</f>
        <v>0</v>
      </c>
      <c r="AQ79" s="27" t="s">
        <v>7</v>
      </c>
      <c r="AV79" s="32">
        <f>AW79+AX79</f>
        <v>0</v>
      </c>
      <c r="AW79" s="32">
        <f>G79*AO79</f>
        <v>0</v>
      </c>
      <c r="AX79" s="32">
        <f>G79*AP79</f>
        <v>0</v>
      </c>
      <c r="AY79" s="33" t="s">
        <v>680</v>
      </c>
      <c r="AZ79" s="33" t="s">
        <v>713</v>
      </c>
      <c r="BA79" s="28" t="s">
        <v>721</v>
      </c>
      <c r="BC79" s="32">
        <f>AW79+AX79</f>
        <v>0</v>
      </c>
      <c r="BD79" s="32">
        <f>H79/(100-BE79)*100</f>
        <v>0</v>
      </c>
      <c r="BE79" s="32">
        <v>0</v>
      </c>
      <c r="BF79" s="32">
        <f>83</f>
        <v>83</v>
      </c>
      <c r="BH79" s="12">
        <f>G79*AO79</f>
        <v>0</v>
      </c>
      <c r="BI79" s="12">
        <f>G79*AP79</f>
        <v>0</v>
      </c>
      <c r="BJ79" s="12">
        <f>G79*H79</f>
        <v>0</v>
      </c>
    </row>
    <row r="80" spans="1:62" x14ac:dyDescent="0.25">
      <c r="A80" s="274"/>
      <c r="B80" s="274"/>
      <c r="C80" s="228" t="s">
        <v>461</v>
      </c>
      <c r="D80" s="229"/>
      <c r="E80" s="229"/>
      <c r="F80" s="274"/>
      <c r="G80" s="274"/>
      <c r="H80" s="19"/>
      <c r="I80" s="274"/>
      <c r="J80" s="274"/>
      <c r="K80" s="274"/>
      <c r="L80" s="274"/>
      <c r="M80" s="274"/>
    </row>
    <row r="81" spans="1:62" x14ac:dyDescent="0.25">
      <c r="A81" s="5"/>
      <c r="B81" s="133" t="s">
        <v>236</v>
      </c>
      <c r="C81" s="226" t="s">
        <v>462</v>
      </c>
      <c r="D81" s="227"/>
      <c r="E81" s="227"/>
      <c r="F81" s="5" t="s">
        <v>6</v>
      </c>
      <c r="G81" s="5" t="s">
        <v>6</v>
      </c>
      <c r="H81" s="18" t="s">
        <v>6</v>
      </c>
      <c r="I81" s="35">
        <f>SUM(I82:I86)</f>
        <v>0</v>
      </c>
      <c r="J81" s="35">
        <f>SUM(J82:J86)</f>
        <v>0</v>
      </c>
      <c r="K81" s="35">
        <f>SUM(K82:K86)</f>
        <v>0</v>
      </c>
      <c r="L81" s="38">
        <f>IF(K264=0,0,K81/K264)</f>
        <v>0</v>
      </c>
      <c r="M81" s="28"/>
      <c r="AI81" s="28"/>
      <c r="AS81" s="35">
        <f>SUM(AJ82:AJ86)</f>
        <v>0</v>
      </c>
      <c r="AT81" s="35">
        <f>SUM(AK82:AK86)</f>
        <v>0</v>
      </c>
      <c r="AU81" s="35">
        <f>SUM(AL82:AL86)</f>
        <v>0</v>
      </c>
    </row>
    <row r="82" spans="1:62" x14ac:dyDescent="0.25">
      <c r="A82" s="137" t="s">
        <v>50</v>
      </c>
      <c r="B82" s="137" t="s">
        <v>237</v>
      </c>
      <c r="C82" s="223" t="s">
        <v>463</v>
      </c>
      <c r="D82" s="221"/>
      <c r="E82" s="224"/>
      <c r="F82" s="137" t="s">
        <v>625</v>
      </c>
      <c r="G82" s="92">
        <v>14.69</v>
      </c>
      <c r="H82" s="17">
        <v>0</v>
      </c>
      <c r="I82" s="93">
        <f>G82*AO82</f>
        <v>0</v>
      </c>
      <c r="J82" s="93">
        <f>G82*AP82</f>
        <v>0</v>
      </c>
      <c r="K82" s="93">
        <f>G82*H82</f>
        <v>0</v>
      </c>
      <c r="L82" s="94">
        <f>IF(K264=0,0,K82/K264)</f>
        <v>0</v>
      </c>
      <c r="M82" s="95" t="s">
        <v>657</v>
      </c>
      <c r="Z82" s="32">
        <f>IF(AQ82="5",BJ82,0)</f>
        <v>0</v>
      </c>
      <c r="AB82" s="32">
        <f>IF(AQ82="1",BH82,0)</f>
        <v>0</v>
      </c>
      <c r="AC82" s="32">
        <f>IF(AQ82="1",BI82,0)</f>
        <v>0</v>
      </c>
      <c r="AD82" s="32">
        <f>IF(AQ82="7",BH82,0)</f>
        <v>0</v>
      </c>
      <c r="AE82" s="32">
        <f>IF(AQ82="7",BI82,0)</f>
        <v>0</v>
      </c>
      <c r="AF82" s="32">
        <f>IF(AQ82="2",BH82,0)</f>
        <v>0</v>
      </c>
      <c r="AG82" s="32">
        <f>IF(AQ82="2",BI82,0)</f>
        <v>0</v>
      </c>
      <c r="AH82" s="32">
        <f>IF(AQ82="0",BJ82,0)</f>
        <v>0</v>
      </c>
      <c r="AI82" s="28"/>
      <c r="AJ82" s="12">
        <f>IF(AN82=0,K82,0)</f>
        <v>0</v>
      </c>
      <c r="AK82" s="12">
        <f>IF(AN82=15,K82,0)</f>
        <v>0</v>
      </c>
      <c r="AL82" s="12">
        <f>IF(AN82=21,K82,0)</f>
        <v>0</v>
      </c>
      <c r="AN82" s="32">
        <v>21</v>
      </c>
      <c r="AO82" s="32">
        <f>H82*0.559619047619048</f>
        <v>0</v>
      </c>
      <c r="AP82" s="32">
        <f>H82*(1-0.559619047619048)</f>
        <v>0</v>
      </c>
      <c r="AQ82" s="27" t="s">
        <v>13</v>
      </c>
      <c r="AV82" s="32">
        <f>AW82+AX82</f>
        <v>0</v>
      </c>
      <c r="AW82" s="32">
        <f>G82*AO82</f>
        <v>0</v>
      </c>
      <c r="AX82" s="32">
        <f>G82*AP82</f>
        <v>0</v>
      </c>
      <c r="AY82" s="33" t="s">
        <v>681</v>
      </c>
      <c r="AZ82" s="33" t="s">
        <v>714</v>
      </c>
      <c r="BA82" s="28" t="s">
        <v>721</v>
      </c>
      <c r="BC82" s="32">
        <f>AW82+AX82</f>
        <v>0</v>
      </c>
      <c r="BD82" s="32">
        <f>H82/(100-BE82)*100</f>
        <v>0</v>
      </c>
      <c r="BE82" s="32">
        <v>0</v>
      </c>
      <c r="BF82" s="32">
        <f>86</f>
        <v>86</v>
      </c>
      <c r="BH82" s="12">
        <f>G82*AO82</f>
        <v>0</v>
      </c>
      <c r="BI82" s="12">
        <f>G82*AP82</f>
        <v>0</v>
      </c>
      <c r="BJ82" s="12">
        <f>G82*H82</f>
        <v>0</v>
      </c>
    </row>
    <row r="83" spans="1:62" x14ac:dyDescent="0.25">
      <c r="A83" s="280"/>
      <c r="B83" s="280"/>
      <c r="C83" s="228" t="s">
        <v>464</v>
      </c>
      <c r="D83" s="229"/>
      <c r="E83" s="229"/>
      <c r="F83" s="280"/>
      <c r="G83" s="280"/>
      <c r="H83" s="19"/>
      <c r="I83" s="280"/>
      <c r="J83" s="280"/>
      <c r="K83" s="280"/>
      <c r="L83" s="280"/>
      <c r="M83" s="280"/>
    </row>
    <row r="84" spans="1:62" x14ac:dyDescent="0.25">
      <c r="A84" s="137" t="s">
        <v>51</v>
      </c>
      <c r="B84" s="137" t="s">
        <v>238</v>
      </c>
      <c r="C84" s="223" t="s">
        <v>465</v>
      </c>
      <c r="D84" s="221"/>
      <c r="E84" s="224"/>
      <c r="F84" s="137" t="s">
        <v>625</v>
      </c>
      <c r="G84" s="92">
        <v>14.69</v>
      </c>
      <c r="H84" s="17">
        <v>0</v>
      </c>
      <c r="I84" s="93">
        <f>G84*AO84</f>
        <v>0</v>
      </c>
      <c r="J84" s="93">
        <f>G84*AP84</f>
        <v>0</v>
      </c>
      <c r="K84" s="93">
        <f>G84*H84</f>
        <v>0</v>
      </c>
      <c r="L84" s="94">
        <f>IF(K264=0,0,K84/K264)</f>
        <v>0</v>
      </c>
      <c r="M84" s="95" t="s">
        <v>657</v>
      </c>
      <c r="Z84" s="32">
        <f>IF(AQ84="5",BJ84,0)</f>
        <v>0</v>
      </c>
      <c r="AB84" s="32">
        <f>IF(AQ84="1",BH84,0)</f>
        <v>0</v>
      </c>
      <c r="AC84" s="32">
        <f>IF(AQ84="1",BI84,0)</f>
        <v>0</v>
      </c>
      <c r="AD84" s="32">
        <f>IF(AQ84="7",BH84,0)</f>
        <v>0</v>
      </c>
      <c r="AE84" s="32">
        <f>IF(AQ84="7",BI84,0)</f>
        <v>0</v>
      </c>
      <c r="AF84" s="32">
        <f>IF(AQ84="2",BH84,0)</f>
        <v>0</v>
      </c>
      <c r="AG84" s="32">
        <f>IF(AQ84="2",BI84,0)</f>
        <v>0</v>
      </c>
      <c r="AH84" s="32">
        <f>IF(AQ84="0",BJ84,0)</f>
        <v>0</v>
      </c>
      <c r="AI84" s="28"/>
      <c r="AJ84" s="12">
        <f>IF(AN84=0,K84,0)</f>
        <v>0</v>
      </c>
      <c r="AK84" s="12">
        <f>IF(AN84=15,K84,0)</f>
        <v>0</v>
      </c>
      <c r="AL84" s="12">
        <f>IF(AN84=21,K84,0)</f>
        <v>0</v>
      </c>
      <c r="AN84" s="32">
        <v>21</v>
      </c>
      <c r="AO84" s="32">
        <f>H84*0.540220200181984</f>
        <v>0</v>
      </c>
      <c r="AP84" s="32">
        <f>H84*(1-0.540220200181984)</f>
        <v>0</v>
      </c>
      <c r="AQ84" s="27" t="s">
        <v>13</v>
      </c>
      <c r="AV84" s="32">
        <f>AW84+AX84</f>
        <v>0</v>
      </c>
      <c r="AW84" s="32">
        <f>G84*AO84</f>
        <v>0</v>
      </c>
      <c r="AX84" s="32">
        <f>G84*AP84</f>
        <v>0</v>
      </c>
      <c r="AY84" s="33" t="s">
        <v>681</v>
      </c>
      <c r="AZ84" s="33" t="s">
        <v>714</v>
      </c>
      <c r="BA84" s="28" t="s">
        <v>721</v>
      </c>
      <c r="BC84" s="32">
        <f>AW84+AX84</f>
        <v>0</v>
      </c>
      <c r="BD84" s="32">
        <f>H84/(100-BE84)*100</f>
        <v>0</v>
      </c>
      <c r="BE84" s="32">
        <v>0</v>
      </c>
      <c r="BF84" s="32">
        <f>88</f>
        <v>88</v>
      </c>
      <c r="BH84" s="12">
        <f>G84*AO84</f>
        <v>0</v>
      </c>
      <c r="BI84" s="12">
        <f>G84*AP84</f>
        <v>0</v>
      </c>
      <c r="BJ84" s="12">
        <f>G84*H84</f>
        <v>0</v>
      </c>
    </row>
    <row r="85" spans="1:62" x14ac:dyDescent="0.25">
      <c r="A85" s="280"/>
      <c r="B85" s="280"/>
      <c r="C85" s="228" t="s">
        <v>466</v>
      </c>
      <c r="D85" s="229"/>
      <c r="E85" s="229"/>
      <c r="F85" s="280"/>
      <c r="G85" s="280"/>
      <c r="H85" s="19"/>
      <c r="I85" s="280"/>
      <c r="J85" s="280"/>
      <c r="K85" s="280"/>
      <c r="L85" s="280"/>
      <c r="M85" s="280"/>
    </row>
    <row r="86" spans="1:62" x14ac:dyDescent="0.25">
      <c r="A86" s="137" t="s">
        <v>52</v>
      </c>
      <c r="B86" s="137" t="s">
        <v>239</v>
      </c>
      <c r="C86" s="223" t="s">
        <v>467</v>
      </c>
      <c r="D86" s="221"/>
      <c r="E86" s="224"/>
      <c r="F86" s="137" t="s">
        <v>627</v>
      </c>
      <c r="G86" s="92">
        <v>7.5999999999999998E-2</v>
      </c>
      <c r="H86" s="17">
        <v>0</v>
      </c>
      <c r="I86" s="93">
        <f>G86*AO86</f>
        <v>0</v>
      </c>
      <c r="J86" s="93">
        <f>G86*AP86</f>
        <v>0</v>
      </c>
      <c r="K86" s="93">
        <f>G86*H86</f>
        <v>0</v>
      </c>
      <c r="L86" s="94">
        <f>IF(K264=0,0,K86/K264)</f>
        <v>0</v>
      </c>
      <c r="M86" s="95" t="s">
        <v>657</v>
      </c>
      <c r="Z86" s="32">
        <f>IF(AQ86="5",BJ86,0)</f>
        <v>0</v>
      </c>
      <c r="AB86" s="32">
        <f>IF(AQ86="1",BH86,0)</f>
        <v>0</v>
      </c>
      <c r="AC86" s="32">
        <f>IF(AQ86="1",BI86,0)</f>
        <v>0</v>
      </c>
      <c r="AD86" s="32">
        <f>IF(AQ86="7",BH86,0)</f>
        <v>0</v>
      </c>
      <c r="AE86" s="32">
        <f>IF(AQ86="7",BI86,0)</f>
        <v>0</v>
      </c>
      <c r="AF86" s="32">
        <f>IF(AQ86="2",BH86,0)</f>
        <v>0</v>
      </c>
      <c r="AG86" s="32">
        <f>IF(AQ86="2",BI86,0)</f>
        <v>0</v>
      </c>
      <c r="AH86" s="32">
        <f>IF(AQ86="0",BJ86,0)</f>
        <v>0</v>
      </c>
      <c r="AI86" s="28"/>
      <c r="AJ86" s="12">
        <f>IF(AN86=0,K86,0)</f>
        <v>0</v>
      </c>
      <c r="AK86" s="12">
        <f>IF(AN86=15,K86,0)</f>
        <v>0</v>
      </c>
      <c r="AL86" s="12">
        <f>IF(AN86=21,K86,0)</f>
        <v>0</v>
      </c>
      <c r="AN86" s="32">
        <v>21</v>
      </c>
      <c r="AO86" s="32">
        <f>H86*0</f>
        <v>0</v>
      </c>
      <c r="AP86" s="32">
        <f>H86*(1-0)</f>
        <v>0</v>
      </c>
      <c r="AQ86" s="27" t="s">
        <v>11</v>
      </c>
      <c r="AV86" s="32">
        <f>AW86+AX86</f>
        <v>0</v>
      </c>
      <c r="AW86" s="32">
        <f>G86*AO86</f>
        <v>0</v>
      </c>
      <c r="AX86" s="32">
        <f>G86*AP86</f>
        <v>0</v>
      </c>
      <c r="AY86" s="33" t="s">
        <v>681</v>
      </c>
      <c r="AZ86" s="33" t="s">
        <v>714</v>
      </c>
      <c r="BA86" s="28" t="s">
        <v>721</v>
      </c>
      <c r="BC86" s="32">
        <f>AW86+AX86</f>
        <v>0</v>
      </c>
      <c r="BD86" s="32">
        <f>H86/(100-BE86)*100</f>
        <v>0</v>
      </c>
      <c r="BE86" s="32">
        <v>0</v>
      </c>
      <c r="BF86" s="32">
        <f>90</f>
        <v>90</v>
      </c>
      <c r="BH86" s="12">
        <f>G86*AO86</f>
        <v>0</v>
      </c>
      <c r="BI86" s="12">
        <f>G86*AP86</f>
        <v>0</v>
      </c>
      <c r="BJ86" s="12">
        <f>G86*H86</f>
        <v>0</v>
      </c>
    </row>
    <row r="87" spans="1:62" x14ac:dyDescent="0.25">
      <c r="A87" s="5"/>
      <c r="B87" s="133" t="s">
        <v>240</v>
      </c>
      <c r="C87" s="226" t="s">
        <v>468</v>
      </c>
      <c r="D87" s="227"/>
      <c r="E87" s="227"/>
      <c r="F87" s="5" t="s">
        <v>6</v>
      </c>
      <c r="G87" s="5" t="s">
        <v>6</v>
      </c>
      <c r="H87" s="18" t="s">
        <v>6</v>
      </c>
      <c r="I87" s="35">
        <f>SUM(I88:I90)</f>
        <v>0</v>
      </c>
      <c r="J87" s="35">
        <f>SUM(J88:J90)</f>
        <v>0</v>
      </c>
      <c r="K87" s="35">
        <f>SUM(K88:K90)</f>
        <v>0</v>
      </c>
      <c r="L87" s="38">
        <f>IF(K264=0,0,K87/K264)</f>
        <v>0</v>
      </c>
      <c r="M87" s="28"/>
      <c r="AI87" s="28"/>
      <c r="AS87" s="35">
        <f>SUM(AJ88:AJ90)</f>
        <v>0</v>
      </c>
      <c r="AT87" s="35">
        <f>SUM(AK88:AK90)</f>
        <v>0</v>
      </c>
      <c r="AU87" s="35">
        <f>SUM(AL88:AL90)</f>
        <v>0</v>
      </c>
    </row>
    <row r="88" spans="1:62" x14ac:dyDescent="0.25">
      <c r="A88" s="132" t="s">
        <v>53</v>
      </c>
      <c r="B88" s="132" t="s">
        <v>241</v>
      </c>
      <c r="C88" s="225" t="s">
        <v>469</v>
      </c>
      <c r="D88" s="221"/>
      <c r="E88" s="221"/>
      <c r="F88" s="132" t="s">
        <v>625</v>
      </c>
      <c r="G88" s="77">
        <v>247.63</v>
      </c>
      <c r="H88" s="17">
        <v>0</v>
      </c>
      <c r="I88" s="12">
        <f>G88*AO88</f>
        <v>0</v>
      </c>
      <c r="J88" s="12">
        <f>G88*AP88</f>
        <v>0</v>
      </c>
      <c r="K88" s="12">
        <f>G88*H88</f>
        <v>0</v>
      </c>
      <c r="L88" s="37">
        <f>IF(K264=0,0,K88/K264)</f>
        <v>0</v>
      </c>
      <c r="M88" s="27" t="s">
        <v>657</v>
      </c>
      <c r="Z88" s="32">
        <f>IF(AQ88="5",BJ88,0)</f>
        <v>0</v>
      </c>
      <c r="AB88" s="32">
        <f>IF(AQ88="1",BH88,0)</f>
        <v>0</v>
      </c>
      <c r="AC88" s="32">
        <f>IF(AQ88="1",BI88,0)</f>
        <v>0</v>
      </c>
      <c r="AD88" s="32">
        <f>IF(AQ88="7",BH88,0)</f>
        <v>0</v>
      </c>
      <c r="AE88" s="32">
        <f>IF(AQ88="7",BI88,0)</f>
        <v>0</v>
      </c>
      <c r="AF88" s="32">
        <f>IF(AQ88="2",BH88,0)</f>
        <v>0</v>
      </c>
      <c r="AG88" s="32">
        <f>IF(AQ88="2",BI88,0)</f>
        <v>0</v>
      </c>
      <c r="AH88" s="32">
        <f>IF(AQ88="0",BJ88,0)</f>
        <v>0</v>
      </c>
      <c r="AI88" s="28"/>
      <c r="AJ88" s="12">
        <f>IF(AN88=0,K88,0)</f>
        <v>0</v>
      </c>
      <c r="AK88" s="12">
        <f>IF(AN88=15,K88,0)</f>
        <v>0</v>
      </c>
      <c r="AL88" s="12">
        <f>IF(AN88=21,K88,0)</f>
        <v>0</v>
      </c>
      <c r="AN88" s="32">
        <v>21</v>
      </c>
      <c r="AO88" s="32">
        <f>H88*0</f>
        <v>0</v>
      </c>
      <c r="AP88" s="32">
        <f>H88*(1-0)</f>
        <v>0</v>
      </c>
      <c r="AQ88" s="27" t="s">
        <v>13</v>
      </c>
      <c r="AV88" s="32">
        <f>AW88+AX88</f>
        <v>0</v>
      </c>
      <c r="AW88" s="32">
        <f>G88*AO88</f>
        <v>0</v>
      </c>
      <c r="AX88" s="32">
        <f>G88*AP88</f>
        <v>0</v>
      </c>
      <c r="AY88" s="33" t="s">
        <v>682</v>
      </c>
      <c r="AZ88" s="33" t="s">
        <v>714</v>
      </c>
      <c r="BA88" s="28" t="s">
        <v>721</v>
      </c>
      <c r="BC88" s="32">
        <f>AW88+AX88</f>
        <v>0</v>
      </c>
      <c r="BD88" s="32">
        <f>H88/(100-BE88)*100</f>
        <v>0</v>
      </c>
      <c r="BE88" s="32">
        <v>0</v>
      </c>
      <c r="BF88" s="32">
        <f>92</f>
        <v>92</v>
      </c>
      <c r="BH88" s="12">
        <f>G88*AO88</f>
        <v>0</v>
      </c>
      <c r="BI88" s="12">
        <f>G88*AP88</f>
        <v>0</v>
      </c>
      <c r="BJ88" s="12">
        <f>G88*H88</f>
        <v>0</v>
      </c>
    </row>
    <row r="89" spans="1:62" x14ac:dyDescent="0.25">
      <c r="A89" s="274"/>
      <c r="B89" s="274"/>
      <c r="C89" s="228" t="s">
        <v>470</v>
      </c>
      <c r="D89" s="229"/>
      <c r="E89" s="229"/>
      <c r="F89" s="274"/>
      <c r="G89" s="274"/>
      <c r="H89" s="19"/>
      <c r="I89" s="274"/>
      <c r="J89" s="274"/>
      <c r="K89" s="274"/>
      <c r="L89" s="274"/>
      <c r="M89" s="274"/>
    </row>
    <row r="90" spans="1:62" x14ac:dyDescent="0.25">
      <c r="A90" s="132" t="s">
        <v>54</v>
      </c>
      <c r="B90" s="132" t="s">
        <v>242</v>
      </c>
      <c r="C90" s="225" t="s">
        <v>471</v>
      </c>
      <c r="D90" s="221"/>
      <c r="E90" s="221"/>
      <c r="F90" s="132" t="s">
        <v>627</v>
      </c>
      <c r="G90" s="77">
        <v>1.486</v>
      </c>
      <c r="H90" s="17">
        <v>0</v>
      </c>
      <c r="I90" s="12">
        <f>G90*AO90</f>
        <v>0</v>
      </c>
      <c r="J90" s="12">
        <f>G90*AP90</f>
        <v>0</v>
      </c>
      <c r="K90" s="12">
        <f>G90*H90</f>
        <v>0</v>
      </c>
      <c r="L90" s="37">
        <f>IF(K264=0,0,K90/K264)</f>
        <v>0</v>
      </c>
      <c r="M90" s="27" t="s">
        <v>657</v>
      </c>
      <c r="Z90" s="32">
        <f>IF(AQ90="5",BJ90,0)</f>
        <v>0</v>
      </c>
      <c r="AB90" s="32">
        <f>IF(AQ90="1",BH90,0)</f>
        <v>0</v>
      </c>
      <c r="AC90" s="32">
        <f>IF(AQ90="1",BI90,0)</f>
        <v>0</v>
      </c>
      <c r="AD90" s="32">
        <f>IF(AQ90="7",BH90,0)</f>
        <v>0</v>
      </c>
      <c r="AE90" s="32">
        <f>IF(AQ90="7",BI90,0)</f>
        <v>0</v>
      </c>
      <c r="AF90" s="32">
        <f>IF(AQ90="2",BH90,0)</f>
        <v>0</v>
      </c>
      <c r="AG90" s="32">
        <f>IF(AQ90="2",BI90,0)</f>
        <v>0</v>
      </c>
      <c r="AH90" s="32">
        <f>IF(AQ90="0",BJ90,0)</f>
        <v>0</v>
      </c>
      <c r="AI90" s="28"/>
      <c r="AJ90" s="12">
        <f>IF(AN90=0,K90,0)</f>
        <v>0</v>
      </c>
      <c r="AK90" s="12">
        <f>IF(AN90=15,K90,0)</f>
        <v>0</v>
      </c>
      <c r="AL90" s="12">
        <f>IF(AN90=21,K90,0)</f>
        <v>0</v>
      </c>
      <c r="AN90" s="32">
        <v>21</v>
      </c>
      <c r="AO90" s="32">
        <f>H90*0</f>
        <v>0</v>
      </c>
      <c r="AP90" s="32">
        <f>H90*(1-0)</f>
        <v>0</v>
      </c>
      <c r="AQ90" s="27" t="s">
        <v>11</v>
      </c>
      <c r="AV90" s="32">
        <f>AW90+AX90</f>
        <v>0</v>
      </c>
      <c r="AW90" s="32">
        <f>G90*AO90</f>
        <v>0</v>
      </c>
      <c r="AX90" s="32">
        <f>G90*AP90</f>
        <v>0</v>
      </c>
      <c r="AY90" s="33" t="s">
        <v>682</v>
      </c>
      <c r="AZ90" s="33" t="s">
        <v>714</v>
      </c>
      <c r="BA90" s="28" t="s">
        <v>721</v>
      </c>
      <c r="BC90" s="32">
        <f>AW90+AX90</f>
        <v>0</v>
      </c>
      <c r="BD90" s="32">
        <f>H90/(100-BE90)*100</f>
        <v>0</v>
      </c>
      <c r="BE90" s="32">
        <v>0</v>
      </c>
      <c r="BF90" s="32">
        <f>94</f>
        <v>94</v>
      </c>
      <c r="BH90" s="12">
        <f>G90*AO90</f>
        <v>0</v>
      </c>
      <c r="BI90" s="12">
        <f>G90*AP90</f>
        <v>0</v>
      </c>
      <c r="BJ90" s="12">
        <f>G90*H90</f>
        <v>0</v>
      </c>
    </row>
    <row r="91" spans="1:62" x14ac:dyDescent="0.25">
      <c r="A91" s="5"/>
      <c r="B91" s="133" t="s">
        <v>243</v>
      </c>
      <c r="C91" s="226" t="s">
        <v>472</v>
      </c>
      <c r="D91" s="227"/>
      <c r="E91" s="227"/>
      <c r="F91" s="5" t="s">
        <v>6</v>
      </c>
      <c r="G91" s="5" t="s">
        <v>6</v>
      </c>
      <c r="H91" s="18" t="s">
        <v>6</v>
      </c>
      <c r="I91" s="35">
        <f>SUM(I92:I98)</f>
        <v>0</v>
      </c>
      <c r="J91" s="35">
        <f>SUM(J92:J98)</f>
        <v>0</v>
      </c>
      <c r="K91" s="35">
        <f>SUM(K92:K98)</f>
        <v>0</v>
      </c>
      <c r="L91" s="38">
        <f>IF(K264=0,0,K91/K264)</f>
        <v>0</v>
      </c>
      <c r="M91" s="28"/>
      <c r="AI91" s="28"/>
      <c r="AS91" s="35">
        <f>SUM(AJ92:AJ98)</f>
        <v>0</v>
      </c>
      <c r="AT91" s="35">
        <f>SUM(AK92:AK98)</f>
        <v>0</v>
      </c>
      <c r="AU91" s="35">
        <f>SUM(AL92:AL98)</f>
        <v>0</v>
      </c>
    </row>
    <row r="92" spans="1:62" x14ac:dyDescent="0.25">
      <c r="A92" s="132" t="s">
        <v>55</v>
      </c>
      <c r="B92" s="132" t="s">
        <v>244</v>
      </c>
      <c r="C92" s="225" t="s">
        <v>473</v>
      </c>
      <c r="D92" s="221"/>
      <c r="E92" s="221"/>
      <c r="F92" s="132" t="s">
        <v>625</v>
      </c>
      <c r="G92" s="77">
        <v>103.95</v>
      </c>
      <c r="H92" s="17">
        <v>0</v>
      </c>
      <c r="I92" s="12">
        <f>G92*AO92</f>
        <v>0</v>
      </c>
      <c r="J92" s="12">
        <f>G92*AP92</f>
        <v>0</v>
      </c>
      <c r="K92" s="12">
        <f>G92*H92</f>
        <v>0</v>
      </c>
      <c r="L92" s="37">
        <f>IF(K264=0,0,K92/K264)</f>
        <v>0</v>
      </c>
      <c r="M92" s="27" t="s">
        <v>657</v>
      </c>
      <c r="Z92" s="32">
        <f>IF(AQ92="5",BJ92,0)</f>
        <v>0</v>
      </c>
      <c r="AB92" s="32">
        <f>IF(AQ92="1",BH92,0)</f>
        <v>0</v>
      </c>
      <c r="AC92" s="32">
        <f>IF(AQ92="1",BI92,0)</f>
        <v>0</v>
      </c>
      <c r="AD92" s="32">
        <f>IF(AQ92="7",BH92,0)</f>
        <v>0</v>
      </c>
      <c r="AE92" s="32">
        <f>IF(AQ92="7",BI92,0)</f>
        <v>0</v>
      </c>
      <c r="AF92" s="32">
        <f>IF(AQ92="2",BH92,0)</f>
        <v>0</v>
      </c>
      <c r="AG92" s="32">
        <f>IF(AQ92="2",BI92,0)</f>
        <v>0</v>
      </c>
      <c r="AH92" s="32">
        <f>IF(AQ92="0",BJ92,0)</f>
        <v>0</v>
      </c>
      <c r="AI92" s="28"/>
      <c r="AJ92" s="12">
        <f>IF(AN92=0,K92,0)</f>
        <v>0</v>
      </c>
      <c r="AK92" s="12">
        <f>IF(AN92=15,K92,0)</f>
        <v>0</v>
      </c>
      <c r="AL92" s="12">
        <f>IF(AN92=21,K92,0)</f>
        <v>0</v>
      </c>
      <c r="AN92" s="32">
        <v>21</v>
      </c>
      <c r="AO92" s="32">
        <f>H92*0</f>
        <v>0</v>
      </c>
      <c r="AP92" s="32">
        <f>H92*(1-0)</f>
        <v>0</v>
      </c>
      <c r="AQ92" s="27" t="s">
        <v>13</v>
      </c>
      <c r="AV92" s="32">
        <f>AW92+AX92</f>
        <v>0</v>
      </c>
      <c r="AW92" s="32">
        <f>G92*AO92</f>
        <v>0</v>
      </c>
      <c r="AX92" s="32">
        <f>G92*AP92</f>
        <v>0</v>
      </c>
      <c r="AY92" s="33" t="s">
        <v>683</v>
      </c>
      <c r="AZ92" s="33" t="s">
        <v>714</v>
      </c>
      <c r="BA92" s="28" t="s">
        <v>721</v>
      </c>
      <c r="BC92" s="32">
        <f>AW92+AX92</f>
        <v>0</v>
      </c>
      <c r="BD92" s="32">
        <f>H92/(100-BE92)*100</f>
        <v>0</v>
      </c>
      <c r="BE92" s="32">
        <v>0</v>
      </c>
      <c r="BF92" s="32">
        <f>96</f>
        <v>96</v>
      </c>
      <c r="BH92" s="12">
        <f>G92*AO92</f>
        <v>0</v>
      </c>
      <c r="BI92" s="12">
        <f>G92*AP92</f>
        <v>0</v>
      </c>
      <c r="BJ92" s="12">
        <f>G92*H92</f>
        <v>0</v>
      </c>
    </row>
    <row r="93" spans="1:62" x14ac:dyDescent="0.25">
      <c r="A93" s="132" t="s">
        <v>56</v>
      </c>
      <c r="B93" s="132" t="s">
        <v>245</v>
      </c>
      <c r="C93" s="225" t="s">
        <v>474</v>
      </c>
      <c r="D93" s="221"/>
      <c r="E93" s="221"/>
      <c r="F93" s="132" t="s">
        <v>625</v>
      </c>
      <c r="G93" s="77">
        <v>103.95</v>
      </c>
      <c r="H93" s="17">
        <v>0</v>
      </c>
      <c r="I93" s="12">
        <f>G93*AO93</f>
        <v>0</v>
      </c>
      <c r="J93" s="12">
        <f>G93*AP93</f>
        <v>0</v>
      </c>
      <c r="K93" s="12">
        <f>G93*H93</f>
        <v>0</v>
      </c>
      <c r="L93" s="37">
        <f>IF(K264=0,0,K93/K264)</f>
        <v>0</v>
      </c>
      <c r="M93" s="27" t="s">
        <v>657</v>
      </c>
      <c r="Z93" s="32">
        <f>IF(AQ93="5",BJ93,0)</f>
        <v>0</v>
      </c>
      <c r="AB93" s="32">
        <f>IF(AQ93="1",BH93,0)</f>
        <v>0</v>
      </c>
      <c r="AC93" s="32">
        <f>IF(AQ93="1",BI93,0)</f>
        <v>0</v>
      </c>
      <c r="AD93" s="32">
        <f>IF(AQ93="7",BH93,0)</f>
        <v>0</v>
      </c>
      <c r="AE93" s="32">
        <f>IF(AQ93="7",BI93,0)</f>
        <v>0</v>
      </c>
      <c r="AF93" s="32">
        <f>IF(AQ93="2",BH93,0)</f>
        <v>0</v>
      </c>
      <c r="AG93" s="32">
        <f>IF(AQ93="2",BI93,0)</f>
        <v>0</v>
      </c>
      <c r="AH93" s="32">
        <f>IF(AQ93="0",BJ93,0)</f>
        <v>0</v>
      </c>
      <c r="AI93" s="28"/>
      <c r="AJ93" s="12">
        <f>IF(AN93=0,K93,0)</f>
        <v>0</v>
      </c>
      <c r="AK93" s="12">
        <f>IF(AN93=15,K93,0)</f>
        <v>0</v>
      </c>
      <c r="AL93" s="12">
        <f>IF(AN93=21,K93,0)</f>
        <v>0</v>
      </c>
      <c r="AN93" s="32">
        <v>21</v>
      </c>
      <c r="AO93" s="32">
        <f>H93*0.277959867001653</f>
        <v>0</v>
      </c>
      <c r="AP93" s="32">
        <f>H93*(1-0.277959867001653)</f>
        <v>0</v>
      </c>
      <c r="AQ93" s="27" t="s">
        <v>13</v>
      </c>
      <c r="AV93" s="32">
        <f>AW93+AX93</f>
        <v>0</v>
      </c>
      <c r="AW93" s="32">
        <f>G93*AO93</f>
        <v>0</v>
      </c>
      <c r="AX93" s="32">
        <f>G93*AP93</f>
        <v>0</v>
      </c>
      <c r="AY93" s="33" t="s">
        <v>683</v>
      </c>
      <c r="AZ93" s="33" t="s">
        <v>714</v>
      </c>
      <c r="BA93" s="28" t="s">
        <v>721</v>
      </c>
      <c r="BC93" s="32">
        <f>AW93+AX93</f>
        <v>0</v>
      </c>
      <c r="BD93" s="32">
        <f>H93/(100-BE93)*100</f>
        <v>0</v>
      </c>
      <c r="BE93" s="32">
        <v>0</v>
      </c>
      <c r="BF93" s="32">
        <f>97</f>
        <v>97</v>
      </c>
      <c r="BH93" s="12">
        <f>G93*AO93</f>
        <v>0</v>
      </c>
      <c r="BI93" s="12">
        <f>G93*AP93</f>
        <v>0</v>
      </c>
      <c r="BJ93" s="12">
        <f>G93*H93</f>
        <v>0</v>
      </c>
    </row>
    <row r="94" spans="1:62" x14ac:dyDescent="0.25">
      <c r="A94" s="274"/>
      <c r="B94" s="274"/>
      <c r="C94" s="228"/>
      <c r="D94" s="228"/>
      <c r="E94" s="228"/>
      <c r="F94" s="274"/>
      <c r="G94" s="274"/>
      <c r="H94" s="19"/>
      <c r="I94" s="274"/>
      <c r="J94" s="274"/>
      <c r="K94" s="274"/>
      <c r="L94" s="274"/>
      <c r="M94" s="274"/>
    </row>
    <row r="95" spans="1:62" x14ac:dyDescent="0.25">
      <c r="A95" s="138" t="s">
        <v>57</v>
      </c>
      <c r="B95" s="138" t="s">
        <v>246</v>
      </c>
      <c r="C95" s="230" t="s">
        <v>1125</v>
      </c>
      <c r="D95" s="231"/>
      <c r="E95" s="232"/>
      <c r="F95" s="138" t="s">
        <v>625</v>
      </c>
      <c r="G95" s="97">
        <v>112.26600000000001</v>
      </c>
      <c r="H95" s="101">
        <v>0</v>
      </c>
      <c r="I95" s="98">
        <f>G95*AO95</f>
        <v>0</v>
      </c>
      <c r="J95" s="98">
        <f>G95*AP95</f>
        <v>0</v>
      </c>
      <c r="K95" s="98">
        <f>G95*H95</f>
        <v>0</v>
      </c>
      <c r="L95" s="99">
        <f>IF(K264=0,0,K95/K264)</f>
        <v>0</v>
      </c>
      <c r="M95" s="100" t="s">
        <v>657</v>
      </c>
      <c r="Z95" s="32">
        <f>IF(AQ95="5",BJ95,0)</f>
        <v>0</v>
      </c>
      <c r="AB95" s="32">
        <f>IF(AQ95="1",BH95,0)</f>
        <v>0</v>
      </c>
      <c r="AC95" s="32">
        <f>IF(AQ95="1",BI95,0)</f>
        <v>0</v>
      </c>
      <c r="AD95" s="32">
        <f>IF(AQ95="7",BH95,0)</f>
        <v>0</v>
      </c>
      <c r="AE95" s="32">
        <f>IF(AQ95="7",BI95,0)</f>
        <v>0</v>
      </c>
      <c r="AF95" s="32">
        <f>IF(AQ95="2",BH95,0)</f>
        <v>0</v>
      </c>
      <c r="AG95" s="32">
        <f>IF(AQ95="2",BI95,0)</f>
        <v>0</v>
      </c>
      <c r="AH95" s="32">
        <f>IF(AQ95="0",BJ95,0)</f>
        <v>0</v>
      </c>
      <c r="AI95" s="28"/>
      <c r="AJ95" s="13">
        <f>IF(AN95=0,K95,0)</f>
        <v>0</v>
      </c>
      <c r="AK95" s="13">
        <f>IF(AN95=15,K95,0)</f>
        <v>0</v>
      </c>
      <c r="AL95" s="13">
        <f>IF(AN95=21,K95,0)</f>
        <v>0</v>
      </c>
      <c r="AN95" s="32">
        <v>21</v>
      </c>
      <c r="AO95" s="32">
        <f>H95*1</f>
        <v>0</v>
      </c>
      <c r="AP95" s="32">
        <f>H95*(1-1)</f>
        <v>0</v>
      </c>
      <c r="AQ95" s="29" t="s">
        <v>13</v>
      </c>
      <c r="AV95" s="32">
        <f>AW95+AX95</f>
        <v>0</v>
      </c>
      <c r="AW95" s="32">
        <f>G95*AO95</f>
        <v>0</v>
      </c>
      <c r="AX95" s="32">
        <f>G95*AP95</f>
        <v>0</v>
      </c>
      <c r="AY95" s="33" t="s">
        <v>683</v>
      </c>
      <c r="AZ95" s="33" t="s">
        <v>714</v>
      </c>
      <c r="BA95" s="28" t="s">
        <v>721</v>
      </c>
      <c r="BC95" s="32">
        <f>AW95+AX95</f>
        <v>0</v>
      </c>
      <c r="BD95" s="32">
        <f>H95/(100-BE95)*100</f>
        <v>0</v>
      </c>
      <c r="BE95" s="32">
        <v>0</v>
      </c>
      <c r="BF95" s="32">
        <f>99</f>
        <v>99</v>
      </c>
      <c r="BH95" s="13">
        <f>G95*AO95</f>
        <v>0</v>
      </c>
      <c r="BI95" s="13">
        <f>G95*AP95</f>
        <v>0</v>
      </c>
      <c r="BJ95" s="13">
        <f>G95*H95</f>
        <v>0</v>
      </c>
    </row>
    <row r="96" spans="1:62" x14ac:dyDescent="0.25">
      <c r="A96" s="132" t="s">
        <v>58</v>
      </c>
      <c r="B96" s="132" t="s">
        <v>247</v>
      </c>
      <c r="C96" s="225" t="s">
        <v>475</v>
      </c>
      <c r="D96" s="221"/>
      <c r="E96" s="221"/>
      <c r="F96" s="132" t="s">
        <v>625</v>
      </c>
      <c r="G96" s="77">
        <v>103.95</v>
      </c>
      <c r="H96" s="17">
        <v>0</v>
      </c>
      <c r="I96" s="12">
        <f>G96*AO96</f>
        <v>0</v>
      </c>
      <c r="J96" s="12">
        <f>G96*AP96</f>
        <v>0</v>
      </c>
      <c r="K96" s="12">
        <f>G96*H96</f>
        <v>0</v>
      </c>
      <c r="L96" s="37">
        <f>IF(K264=0,0,K96/K264)</f>
        <v>0</v>
      </c>
      <c r="M96" s="27" t="s">
        <v>657</v>
      </c>
      <c r="Z96" s="32">
        <f>IF(AQ96="5",BJ96,0)</f>
        <v>0</v>
      </c>
      <c r="AB96" s="32">
        <f>IF(AQ96="1",BH96,0)</f>
        <v>0</v>
      </c>
      <c r="AC96" s="32">
        <f>IF(AQ96="1",BI96,0)</f>
        <v>0</v>
      </c>
      <c r="AD96" s="32">
        <f>IF(AQ96="7",BH96,0)</f>
        <v>0</v>
      </c>
      <c r="AE96" s="32">
        <f>IF(AQ96="7",BI96,0)</f>
        <v>0</v>
      </c>
      <c r="AF96" s="32">
        <f>IF(AQ96="2",BH96,0)</f>
        <v>0</v>
      </c>
      <c r="AG96" s="32">
        <f>IF(AQ96="2",BI96,0)</f>
        <v>0</v>
      </c>
      <c r="AH96" s="32">
        <f>IF(AQ96="0",BJ96,0)</f>
        <v>0</v>
      </c>
      <c r="AI96" s="28"/>
      <c r="AJ96" s="12">
        <f>IF(AN96=0,K96,0)</f>
        <v>0</v>
      </c>
      <c r="AK96" s="12">
        <f>IF(AN96=15,K96,0)</f>
        <v>0</v>
      </c>
      <c r="AL96" s="12">
        <f>IF(AN96=21,K96,0)</f>
        <v>0</v>
      </c>
      <c r="AN96" s="32">
        <v>21</v>
      </c>
      <c r="AO96" s="32">
        <f>H96*0.149327676352844</f>
        <v>0</v>
      </c>
      <c r="AP96" s="32">
        <f>H96*(1-0.149327676352844)</f>
        <v>0</v>
      </c>
      <c r="AQ96" s="27" t="s">
        <v>13</v>
      </c>
      <c r="AV96" s="32">
        <f>AW96+AX96</f>
        <v>0</v>
      </c>
      <c r="AW96" s="32">
        <f>G96*AO96</f>
        <v>0</v>
      </c>
      <c r="AX96" s="32">
        <f>G96*AP96</f>
        <v>0</v>
      </c>
      <c r="AY96" s="33" t="s">
        <v>683</v>
      </c>
      <c r="AZ96" s="33" t="s">
        <v>714</v>
      </c>
      <c r="BA96" s="28" t="s">
        <v>721</v>
      </c>
      <c r="BC96" s="32">
        <f>AW96+AX96</f>
        <v>0</v>
      </c>
      <c r="BD96" s="32">
        <f>H96/(100-BE96)*100</f>
        <v>0</v>
      </c>
      <c r="BE96" s="32">
        <v>0</v>
      </c>
      <c r="BF96" s="32">
        <f>100</f>
        <v>100</v>
      </c>
      <c r="BH96" s="12">
        <f>G96*AO96</f>
        <v>0</v>
      </c>
      <c r="BI96" s="12">
        <f>G96*AP96</f>
        <v>0</v>
      </c>
      <c r="BJ96" s="12">
        <f>G96*H96</f>
        <v>0</v>
      </c>
    </row>
    <row r="97" spans="1:62" x14ac:dyDescent="0.25">
      <c r="A97" s="274"/>
      <c r="B97" s="274"/>
      <c r="C97" s="228" t="s">
        <v>476</v>
      </c>
      <c r="D97" s="229"/>
      <c r="E97" s="229"/>
      <c r="F97" s="274"/>
      <c r="G97" s="274"/>
      <c r="H97" s="19"/>
      <c r="I97" s="274"/>
      <c r="J97" s="274"/>
      <c r="K97" s="274"/>
      <c r="L97" s="274"/>
      <c r="M97" s="274"/>
    </row>
    <row r="98" spans="1:62" x14ac:dyDescent="0.25">
      <c r="A98" s="137" t="s">
        <v>59</v>
      </c>
      <c r="B98" s="137" t="s">
        <v>248</v>
      </c>
      <c r="C98" s="223" t="s">
        <v>477</v>
      </c>
      <c r="D98" s="221"/>
      <c r="E98" s="224"/>
      <c r="F98" s="137" t="s">
        <v>627</v>
      </c>
      <c r="G98" s="92">
        <v>0.82699999999999996</v>
      </c>
      <c r="H98" s="17">
        <v>0</v>
      </c>
      <c r="I98" s="93">
        <f>G98*AO98</f>
        <v>0</v>
      </c>
      <c r="J98" s="93">
        <f>G98*AP98</f>
        <v>0</v>
      </c>
      <c r="K98" s="93">
        <f>G98*H98</f>
        <v>0</v>
      </c>
      <c r="L98" s="94">
        <f>IF(K264=0,0,K98/K264)</f>
        <v>0</v>
      </c>
      <c r="M98" s="95" t="s">
        <v>657</v>
      </c>
      <c r="Z98" s="32">
        <f>IF(AQ98="5",BJ98,0)</f>
        <v>0</v>
      </c>
      <c r="AB98" s="32">
        <f>IF(AQ98="1",BH98,0)</f>
        <v>0</v>
      </c>
      <c r="AC98" s="32">
        <f>IF(AQ98="1",BI98,0)</f>
        <v>0</v>
      </c>
      <c r="AD98" s="32">
        <f>IF(AQ98="7",BH98,0)</f>
        <v>0</v>
      </c>
      <c r="AE98" s="32">
        <f>IF(AQ98="7",BI98,0)</f>
        <v>0</v>
      </c>
      <c r="AF98" s="32">
        <f>IF(AQ98="2",BH98,0)</f>
        <v>0</v>
      </c>
      <c r="AG98" s="32">
        <f>IF(AQ98="2",BI98,0)</f>
        <v>0</v>
      </c>
      <c r="AH98" s="32">
        <f>IF(AQ98="0",BJ98,0)</f>
        <v>0</v>
      </c>
      <c r="AI98" s="28"/>
      <c r="AJ98" s="12">
        <f>IF(AN98=0,K98,0)</f>
        <v>0</v>
      </c>
      <c r="AK98" s="12">
        <f>IF(AN98=15,K98,0)</f>
        <v>0</v>
      </c>
      <c r="AL98" s="12">
        <f>IF(AN98=21,K98,0)</f>
        <v>0</v>
      </c>
      <c r="AN98" s="32">
        <v>21</v>
      </c>
      <c r="AO98" s="32">
        <f>H98*0</f>
        <v>0</v>
      </c>
      <c r="AP98" s="32">
        <f>H98*(1-0)</f>
        <v>0</v>
      </c>
      <c r="AQ98" s="27" t="s">
        <v>11</v>
      </c>
      <c r="AV98" s="32">
        <f>AW98+AX98</f>
        <v>0</v>
      </c>
      <c r="AW98" s="32">
        <f>G98*AO98</f>
        <v>0</v>
      </c>
      <c r="AX98" s="32">
        <f>G98*AP98</f>
        <v>0</v>
      </c>
      <c r="AY98" s="33" t="s">
        <v>683</v>
      </c>
      <c r="AZ98" s="33" t="s">
        <v>714</v>
      </c>
      <c r="BA98" s="28" t="s">
        <v>721</v>
      </c>
      <c r="BC98" s="32">
        <f>AW98+AX98</f>
        <v>0</v>
      </c>
      <c r="BD98" s="32">
        <f>H98/(100-BE98)*100</f>
        <v>0</v>
      </c>
      <c r="BE98" s="32">
        <v>0</v>
      </c>
      <c r="BF98" s="32">
        <f>102</f>
        <v>102</v>
      </c>
      <c r="BH98" s="12">
        <f>G98*AO98</f>
        <v>0</v>
      </c>
      <c r="BI98" s="12">
        <f>G98*AP98</f>
        <v>0</v>
      </c>
      <c r="BJ98" s="12">
        <f>G98*H98</f>
        <v>0</v>
      </c>
    </row>
    <row r="99" spans="1:62" x14ac:dyDescent="0.25">
      <c r="A99" s="5"/>
      <c r="B99" s="133" t="s">
        <v>249</v>
      </c>
      <c r="C99" s="226" t="s">
        <v>478</v>
      </c>
      <c r="D99" s="227"/>
      <c r="E99" s="227"/>
      <c r="F99" s="5" t="s">
        <v>6</v>
      </c>
      <c r="G99" s="5" t="s">
        <v>6</v>
      </c>
      <c r="H99" s="18" t="s">
        <v>6</v>
      </c>
      <c r="I99" s="35">
        <f>SUM(I100:I101)</f>
        <v>0</v>
      </c>
      <c r="J99" s="35">
        <f>SUM(J100:J101)</f>
        <v>0</v>
      </c>
      <c r="K99" s="35">
        <f>SUM(K100:K101)</f>
        <v>0</v>
      </c>
      <c r="L99" s="38">
        <f>IF(K264=0,0,K99/K264)</f>
        <v>0</v>
      </c>
      <c r="M99" s="28"/>
      <c r="AI99" s="28"/>
      <c r="AS99" s="35">
        <f>SUM(AJ100:AJ101)</f>
        <v>0</v>
      </c>
      <c r="AT99" s="35">
        <f>SUM(AK100:AK101)</f>
        <v>0</v>
      </c>
      <c r="AU99" s="35">
        <f>SUM(AL100:AL101)</f>
        <v>0</v>
      </c>
    </row>
    <row r="100" spans="1:62" x14ac:dyDescent="0.25">
      <c r="A100" s="136" t="s">
        <v>60</v>
      </c>
      <c r="B100" s="136" t="s">
        <v>250</v>
      </c>
      <c r="C100" s="220" t="s">
        <v>479</v>
      </c>
      <c r="D100" s="221"/>
      <c r="E100" s="222"/>
      <c r="F100" s="136" t="s">
        <v>629</v>
      </c>
      <c r="G100" s="88">
        <v>4.2</v>
      </c>
      <c r="H100" s="17">
        <v>0</v>
      </c>
      <c r="I100" s="89">
        <f>G100*AO100</f>
        <v>0</v>
      </c>
      <c r="J100" s="89">
        <f>G100*AP100</f>
        <v>0</v>
      </c>
      <c r="K100" s="89">
        <f>G100*H100</f>
        <v>0</v>
      </c>
      <c r="L100" s="90">
        <f>IF(K264=0,0,K100/K264)</f>
        <v>0</v>
      </c>
      <c r="M100" s="91" t="s">
        <v>657</v>
      </c>
      <c r="Z100" s="32">
        <f>IF(AQ100="5",BJ100,0)</f>
        <v>0</v>
      </c>
      <c r="AB100" s="32">
        <f>IF(AQ100="1",BH100,0)</f>
        <v>0</v>
      </c>
      <c r="AC100" s="32">
        <f>IF(AQ100="1",BI100,0)</f>
        <v>0</v>
      </c>
      <c r="AD100" s="32">
        <f>IF(AQ100="7",BH100,0)</f>
        <v>0</v>
      </c>
      <c r="AE100" s="32">
        <f>IF(AQ100="7",BI100,0)</f>
        <v>0</v>
      </c>
      <c r="AF100" s="32">
        <f>IF(AQ100="2",BH100,0)</f>
        <v>0</v>
      </c>
      <c r="AG100" s="32">
        <f>IF(AQ100="2",BI100,0)</f>
        <v>0</v>
      </c>
      <c r="AH100" s="32">
        <f>IF(AQ100="0",BJ100,0)</f>
        <v>0</v>
      </c>
      <c r="AI100" s="28"/>
      <c r="AJ100" s="12">
        <f>IF(AN100=0,K100,0)</f>
        <v>0</v>
      </c>
      <c r="AK100" s="12">
        <f>IF(AN100=15,K100,0)</f>
        <v>0</v>
      </c>
      <c r="AL100" s="12">
        <f>IF(AN100=21,K100,0)</f>
        <v>0</v>
      </c>
      <c r="AN100" s="32">
        <v>21</v>
      </c>
      <c r="AO100" s="32">
        <f>H100*0.478836477987422</f>
        <v>0</v>
      </c>
      <c r="AP100" s="32">
        <f>H100*(1-0.478836477987422)</f>
        <v>0</v>
      </c>
      <c r="AQ100" s="27" t="s">
        <v>13</v>
      </c>
      <c r="AV100" s="32">
        <f>AW100+AX100</f>
        <v>0</v>
      </c>
      <c r="AW100" s="32">
        <f>G100*AO100</f>
        <v>0</v>
      </c>
      <c r="AX100" s="32">
        <f>G100*AP100</f>
        <v>0</v>
      </c>
      <c r="AY100" s="33" t="s">
        <v>684</v>
      </c>
      <c r="AZ100" s="33" t="s">
        <v>715</v>
      </c>
      <c r="BA100" s="28" t="s">
        <v>721</v>
      </c>
      <c r="BC100" s="32">
        <f>AW100+AX100</f>
        <v>0</v>
      </c>
      <c r="BD100" s="32">
        <f>H100/(100-BE100)*100</f>
        <v>0</v>
      </c>
      <c r="BE100" s="32">
        <v>0</v>
      </c>
      <c r="BF100" s="32">
        <f>104</f>
        <v>104</v>
      </c>
      <c r="BH100" s="12">
        <f>G100*AO100</f>
        <v>0</v>
      </c>
      <c r="BI100" s="12">
        <f>G100*AP100</f>
        <v>0</v>
      </c>
      <c r="BJ100" s="12">
        <f>G100*H100</f>
        <v>0</v>
      </c>
    </row>
    <row r="101" spans="1:62" x14ac:dyDescent="0.25">
      <c r="A101" s="137" t="s">
        <v>61</v>
      </c>
      <c r="B101" s="137" t="s">
        <v>251</v>
      </c>
      <c r="C101" s="223" t="s">
        <v>480</v>
      </c>
      <c r="D101" s="221"/>
      <c r="E101" s="224"/>
      <c r="F101" s="137" t="s">
        <v>628</v>
      </c>
      <c r="G101" s="92">
        <v>1</v>
      </c>
      <c r="H101" s="17">
        <v>0</v>
      </c>
      <c r="I101" s="93">
        <f>G101*AO101</f>
        <v>0</v>
      </c>
      <c r="J101" s="93">
        <f>G101*AP101</f>
        <v>0</v>
      </c>
      <c r="K101" s="93">
        <f>G101*H101</f>
        <v>0</v>
      </c>
      <c r="L101" s="94">
        <f>IF(K264=0,0,K101/K264)</f>
        <v>0</v>
      </c>
      <c r="M101" s="95" t="s">
        <v>657</v>
      </c>
      <c r="Z101" s="32">
        <f>IF(AQ101="5",BJ101,0)</f>
        <v>0</v>
      </c>
      <c r="AB101" s="32">
        <f>IF(AQ101="1",BH101,0)</f>
        <v>0</v>
      </c>
      <c r="AC101" s="32">
        <f>IF(AQ101="1",BI101,0)</f>
        <v>0</v>
      </c>
      <c r="AD101" s="32">
        <f>IF(AQ101="7",BH101,0)</f>
        <v>0</v>
      </c>
      <c r="AE101" s="32">
        <f>IF(AQ101="7",BI101,0)</f>
        <v>0</v>
      </c>
      <c r="AF101" s="32">
        <f>IF(AQ101="2",BH101,0)</f>
        <v>0</v>
      </c>
      <c r="AG101" s="32">
        <f>IF(AQ101="2",BI101,0)</f>
        <v>0</v>
      </c>
      <c r="AH101" s="32">
        <f>IF(AQ101="0",BJ101,0)</f>
        <v>0</v>
      </c>
      <c r="AI101" s="28"/>
      <c r="AJ101" s="12">
        <f>IF(AN101=0,K101,0)</f>
        <v>0</v>
      </c>
      <c r="AK101" s="12">
        <f>IF(AN101=15,K101,0)</f>
        <v>0</v>
      </c>
      <c r="AL101" s="12">
        <f>IF(AN101=21,K101,0)</f>
        <v>0</v>
      </c>
      <c r="AN101" s="32">
        <v>21</v>
      </c>
      <c r="AO101" s="32">
        <f>H101*0.933281803542673</f>
        <v>0</v>
      </c>
      <c r="AP101" s="32">
        <f>H101*(1-0.933281803542673)</f>
        <v>0</v>
      </c>
      <c r="AQ101" s="27" t="s">
        <v>13</v>
      </c>
      <c r="AV101" s="32">
        <f>AW101+AX101</f>
        <v>0</v>
      </c>
      <c r="AW101" s="32">
        <f>G101*AO101</f>
        <v>0</v>
      </c>
      <c r="AX101" s="32">
        <f>G101*AP101</f>
        <v>0</v>
      </c>
      <c r="AY101" s="33" t="s">
        <v>684</v>
      </c>
      <c r="AZ101" s="33" t="s">
        <v>715</v>
      </c>
      <c r="BA101" s="28" t="s">
        <v>721</v>
      </c>
      <c r="BC101" s="32">
        <f>AW101+AX101</f>
        <v>0</v>
      </c>
      <c r="BD101" s="32">
        <f>H101/(100-BE101)*100</f>
        <v>0</v>
      </c>
      <c r="BE101" s="32">
        <v>0</v>
      </c>
      <c r="BF101" s="32">
        <f>105</f>
        <v>105</v>
      </c>
      <c r="BH101" s="12">
        <f>G101*AO101</f>
        <v>0</v>
      </c>
      <c r="BI101" s="12">
        <f>G101*AP101</f>
        <v>0</v>
      </c>
      <c r="BJ101" s="12">
        <f>G101*H101</f>
        <v>0</v>
      </c>
    </row>
    <row r="102" spans="1:62" x14ac:dyDescent="0.25">
      <c r="A102" s="274"/>
      <c r="B102" s="274"/>
      <c r="C102" s="228" t="s">
        <v>481</v>
      </c>
      <c r="D102" s="229"/>
      <c r="E102" s="229"/>
      <c r="F102" s="274"/>
      <c r="G102" s="274"/>
      <c r="H102" s="19"/>
      <c r="I102" s="274"/>
      <c r="J102" s="274"/>
      <c r="K102" s="274"/>
      <c r="L102" s="274"/>
      <c r="M102" s="274"/>
    </row>
    <row r="103" spans="1:62" x14ac:dyDescent="0.25">
      <c r="A103" s="5"/>
      <c r="B103" s="133" t="s">
        <v>252</v>
      </c>
      <c r="C103" s="226" t="s">
        <v>482</v>
      </c>
      <c r="D103" s="227"/>
      <c r="E103" s="227"/>
      <c r="F103" s="5" t="s">
        <v>6</v>
      </c>
      <c r="G103" s="5" t="s">
        <v>6</v>
      </c>
      <c r="H103" s="18" t="s">
        <v>6</v>
      </c>
      <c r="I103" s="35">
        <f>SUM(I104:I106)</f>
        <v>0</v>
      </c>
      <c r="J103" s="35">
        <f>SUM(J104:J106)</f>
        <v>0</v>
      </c>
      <c r="K103" s="35">
        <f>SUM(K104:K106)</f>
        <v>0</v>
      </c>
      <c r="L103" s="38">
        <f>IF(K264=0,0,K103/K264)</f>
        <v>0</v>
      </c>
      <c r="M103" s="28"/>
      <c r="AI103" s="28"/>
      <c r="AS103" s="35">
        <f>SUM(AJ104:AJ106)</f>
        <v>0</v>
      </c>
      <c r="AT103" s="35">
        <f>SUM(AK104:AK106)</f>
        <v>0</v>
      </c>
      <c r="AU103" s="35">
        <f>SUM(AL104:AL106)</f>
        <v>0</v>
      </c>
    </row>
    <row r="104" spans="1:62" x14ac:dyDescent="0.25">
      <c r="A104" s="132" t="s">
        <v>62</v>
      </c>
      <c r="B104" s="132" t="s">
        <v>253</v>
      </c>
      <c r="C104" s="225" t="s">
        <v>483</v>
      </c>
      <c r="D104" s="221"/>
      <c r="E104" s="221"/>
      <c r="F104" s="132" t="s">
        <v>628</v>
      </c>
      <c r="G104" s="77">
        <v>2</v>
      </c>
      <c r="H104" s="17">
        <v>0</v>
      </c>
      <c r="I104" s="12">
        <f>G104*AO104</f>
        <v>0</v>
      </c>
      <c r="J104" s="12">
        <f>G104*AP104</f>
        <v>0</v>
      </c>
      <c r="K104" s="12">
        <f>G104*H104</f>
        <v>0</v>
      </c>
      <c r="L104" s="37">
        <f>IF(K264=0,0,K104/K264)</f>
        <v>0</v>
      </c>
      <c r="M104" s="27" t="s">
        <v>657</v>
      </c>
      <c r="Z104" s="32">
        <f>IF(AQ104="5",BJ104,0)</f>
        <v>0</v>
      </c>
      <c r="AB104" s="32">
        <f>IF(AQ104="1",BH104,0)</f>
        <v>0</v>
      </c>
      <c r="AC104" s="32">
        <f>IF(AQ104="1",BI104,0)</f>
        <v>0</v>
      </c>
      <c r="AD104" s="32">
        <f>IF(AQ104="7",BH104,0)</f>
        <v>0</v>
      </c>
      <c r="AE104" s="32">
        <f>IF(AQ104="7",BI104,0)</f>
        <v>0</v>
      </c>
      <c r="AF104" s="32">
        <f>IF(AQ104="2",BH104,0)</f>
        <v>0</v>
      </c>
      <c r="AG104" s="32">
        <f>IF(AQ104="2",BI104,0)</f>
        <v>0</v>
      </c>
      <c r="AH104" s="32">
        <f>IF(AQ104="0",BJ104,0)</f>
        <v>0</v>
      </c>
      <c r="AI104" s="28"/>
      <c r="AJ104" s="12">
        <f>IF(AN104=0,K104,0)</f>
        <v>0</v>
      </c>
      <c r="AK104" s="12">
        <f>IF(AN104=15,K104,0)</f>
        <v>0</v>
      </c>
      <c r="AL104" s="12">
        <f>IF(AN104=21,K104,0)</f>
        <v>0</v>
      </c>
      <c r="AN104" s="32">
        <v>21</v>
      </c>
      <c r="AO104" s="32">
        <f>H104*0</f>
        <v>0</v>
      </c>
      <c r="AP104" s="32">
        <f>H104*(1-0)</f>
        <v>0</v>
      </c>
      <c r="AQ104" s="27" t="s">
        <v>13</v>
      </c>
      <c r="AV104" s="32">
        <f>AW104+AX104</f>
        <v>0</v>
      </c>
      <c r="AW104" s="32">
        <f>G104*AO104</f>
        <v>0</v>
      </c>
      <c r="AX104" s="32">
        <f>G104*AP104</f>
        <v>0</v>
      </c>
      <c r="AY104" s="33" t="s">
        <v>685</v>
      </c>
      <c r="AZ104" s="33" t="s">
        <v>715</v>
      </c>
      <c r="BA104" s="28" t="s">
        <v>721</v>
      </c>
      <c r="BC104" s="32">
        <f>AW104+AX104</f>
        <v>0</v>
      </c>
      <c r="BD104" s="32">
        <f>H104/(100-BE104)*100</f>
        <v>0</v>
      </c>
      <c r="BE104" s="32">
        <v>0</v>
      </c>
      <c r="BF104" s="32">
        <f>108</f>
        <v>108</v>
      </c>
      <c r="BH104" s="12">
        <f>G104*AO104</f>
        <v>0</v>
      </c>
      <c r="BI104" s="12">
        <f>G104*AP104</f>
        <v>0</v>
      </c>
      <c r="BJ104" s="12">
        <f>G104*H104</f>
        <v>0</v>
      </c>
    </row>
    <row r="105" spans="1:62" x14ac:dyDescent="0.25">
      <c r="A105" s="132" t="s">
        <v>63</v>
      </c>
      <c r="B105" s="132" t="s">
        <v>254</v>
      </c>
      <c r="C105" s="225" t="s">
        <v>484</v>
      </c>
      <c r="D105" s="221"/>
      <c r="E105" s="221"/>
      <c r="F105" s="132" t="s">
        <v>628</v>
      </c>
      <c r="G105" s="77">
        <v>3</v>
      </c>
      <c r="H105" s="17">
        <v>0</v>
      </c>
      <c r="I105" s="12">
        <f>G105*AO105</f>
        <v>0</v>
      </c>
      <c r="J105" s="12">
        <f>G105*AP105</f>
        <v>0</v>
      </c>
      <c r="K105" s="12">
        <f>G105*H105</f>
        <v>0</v>
      </c>
      <c r="L105" s="37">
        <f>IF(K264=0,0,K105/K264)</f>
        <v>0</v>
      </c>
      <c r="M105" s="27" t="s">
        <v>657</v>
      </c>
      <c r="Z105" s="32">
        <f>IF(AQ105="5",BJ105,0)</f>
        <v>0</v>
      </c>
      <c r="AB105" s="32">
        <f>IF(AQ105="1",BH105,0)</f>
        <v>0</v>
      </c>
      <c r="AC105" s="32">
        <f>IF(AQ105="1",BI105,0)</f>
        <v>0</v>
      </c>
      <c r="AD105" s="32">
        <f>IF(AQ105="7",BH105,0)</f>
        <v>0</v>
      </c>
      <c r="AE105" s="32">
        <f>IF(AQ105="7",BI105,0)</f>
        <v>0</v>
      </c>
      <c r="AF105" s="32">
        <f>IF(AQ105="2",BH105,0)</f>
        <v>0</v>
      </c>
      <c r="AG105" s="32">
        <f>IF(AQ105="2",BI105,0)</f>
        <v>0</v>
      </c>
      <c r="AH105" s="32">
        <f>IF(AQ105="0",BJ105,0)</f>
        <v>0</v>
      </c>
      <c r="AI105" s="28"/>
      <c r="AJ105" s="12">
        <f>IF(AN105=0,K105,0)</f>
        <v>0</v>
      </c>
      <c r="AK105" s="12">
        <f>IF(AN105=15,K105,0)</f>
        <v>0</v>
      </c>
      <c r="AL105" s="12">
        <f>IF(AN105=21,K105,0)</f>
        <v>0</v>
      </c>
      <c r="AN105" s="32">
        <v>21</v>
      </c>
      <c r="AO105" s="32">
        <f>H105*0</f>
        <v>0</v>
      </c>
      <c r="AP105" s="32">
        <f>H105*(1-0)</f>
        <v>0</v>
      </c>
      <c r="AQ105" s="27" t="s">
        <v>13</v>
      </c>
      <c r="AV105" s="32">
        <f>AW105+AX105</f>
        <v>0</v>
      </c>
      <c r="AW105" s="32">
        <f>G105*AO105</f>
        <v>0</v>
      </c>
      <c r="AX105" s="32">
        <f>G105*AP105</f>
        <v>0</v>
      </c>
      <c r="AY105" s="33" t="s">
        <v>685</v>
      </c>
      <c r="AZ105" s="33" t="s">
        <v>715</v>
      </c>
      <c r="BA105" s="28" t="s">
        <v>721</v>
      </c>
      <c r="BC105" s="32">
        <f>AW105+AX105</f>
        <v>0</v>
      </c>
      <c r="BD105" s="32">
        <f>H105/(100-BE105)*100</f>
        <v>0</v>
      </c>
      <c r="BE105" s="32">
        <v>0</v>
      </c>
      <c r="BF105" s="32">
        <f>109</f>
        <v>109</v>
      </c>
      <c r="BH105" s="12">
        <f>G105*AO105</f>
        <v>0</v>
      </c>
      <c r="BI105" s="12">
        <f>G105*AP105</f>
        <v>0</v>
      </c>
      <c r="BJ105" s="12">
        <f>G105*H105</f>
        <v>0</v>
      </c>
    </row>
    <row r="106" spans="1:62" x14ac:dyDescent="0.25">
      <c r="A106" s="132" t="s">
        <v>64</v>
      </c>
      <c r="B106" s="132" t="s">
        <v>255</v>
      </c>
      <c r="C106" s="225" t="s">
        <v>485</v>
      </c>
      <c r="D106" s="221"/>
      <c r="E106" s="221"/>
      <c r="F106" s="132" t="s">
        <v>627</v>
      </c>
      <c r="G106" s="77">
        <v>0.13400000000000001</v>
      </c>
      <c r="H106" s="17">
        <v>0</v>
      </c>
      <c r="I106" s="12">
        <f>G106*AO106</f>
        <v>0</v>
      </c>
      <c r="J106" s="12">
        <f>G106*AP106</f>
        <v>0</v>
      </c>
      <c r="K106" s="12">
        <f>G106*H106</f>
        <v>0</v>
      </c>
      <c r="L106" s="37">
        <f>IF(K264=0,0,K106/K264)</f>
        <v>0</v>
      </c>
      <c r="M106" s="27" t="s">
        <v>657</v>
      </c>
      <c r="Z106" s="32">
        <f>IF(AQ106="5",BJ106,0)</f>
        <v>0</v>
      </c>
      <c r="AB106" s="32">
        <f>IF(AQ106="1",BH106,0)</f>
        <v>0</v>
      </c>
      <c r="AC106" s="32">
        <f>IF(AQ106="1",BI106,0)</f>
        <v>0</v>
      </c>
      <c r="AD106" s="32">
        <f>IF(AQ106="7",BH106,0)</f>
        <v>0</v>
      </c>
      <c r="AE106" s="32">
        <f>IF(AQ106="7",BI106,0)</f>
        <v>0</v>
      </c>
      <c r="AF106" s="32">
        <f>IF(AQ106="2",BH106,0)</f>
        <v>0</v>
      </c>
      <c r="AG106" s="32">
        <f>IF(AQ106="2",BI106,0)</f>
        <v>0</v>
      </c>
      <c r="AH106" s="32">
        <f>IF(AQ106="0",BJ106,0)</f>
        <v>0</v>
      </c>
      <c r="AI106" s="28"/>
      <c r="AJ106" s="12">
        <f>IF(AN106=0,K106,0)</f>
        <v>0</v>
      </c>
      <c r="AK106" s="12">
        <f>IF(AN106=15,K106,0)</f>
        <v>0</v>
      </c>
      <c r="AL106" s="12">
        <f>IF(AN106=21,K106,0)</f>
        <v>0</v>
      </c>
      <c r="AN106" s="32">
        <v>21</v>
      </c>
      <c r="AO106" s="32">
        <f>H106*0</f>
        <v>0</v>
      </c>
      <c r="AP106" s="32">
        <f>H106*(1-0)</f>
        <v>0</v>
      </c>
      <c r="AQ106" s="27" t="s">
        <v>11</v>
      </c>
      <c r="AV106" s="32">
        <f>AW106+AX106</f>
        <v>0</v>
      </c>
      <c r="AW106" s="32">
        <f>G106*AO106</f>
        <v>0</v>
      </c>
      <c r="AX106" s="32">
        <f>G106*AP106</f>
        <v>0</v>
      </c>
      <c r="AY106" s="33" t="s">
        <v>685</v>
      </c>
      <c r="AZ106" s="33" t="s">
        <v>715</v>
      </c>
      <c r="BA106" s="28" t="s">
        <v>721</v>
      </c>
      <c r="BC106" s="32">
        <f>AW106+AX106</f>
        <v>0</v>
      </c>
      <c r="BD106" s="32">
        <f>H106/(100-BE106)*100</f>
        <v>0</v>
      </c>
      <c r="BE106" s="32">
        <v>0</v>
      </c>
      <c r="BF106" s="32">
        <f>110</f>
        <v>110</v>
      </c>
      <c r="BH106" s="12">
        <f>G106*AO106</f>
        <v>0</v>
      </c>
      <c r="BI106" s="12">
        <f>G106*AP106</f>
        <v>0</v>
      </c>
      <c r="BJ106" s="12">
        <f>G106*H106</f>
        <v>0</v>
      </c>
    </row>
    <row r="107" spans="1:62" x14ac:dyDescent="0.25">
      <c r="A107" s="5"/>
      <c r="B107" s="133" t="s">
        <v>256</v>
      </c>
      <c r="C107" s="226" t="s">
        <v>486</v>
      </c>
      <c r="D107" s="227"/>
      <c r="E107" s="227"/>
      <c r="F107" s="5" t="s">
        <v>6</v>
      </c>
      <c r="G107" s="5" t="s">
        <v>6</v>
      </c>
      <c r="H107" s="18" t="s">
        <v>6</v>
      </c>
      <c r="I107" s="35">
        <f>SUM(I108:I109)</f>
        <v>0</v>
      </c>
      <c r="J107" s="35">
        <f>SUM(J108:J109)</f>
        <v>0</v>
      </c>
      <c r="K107" s="35">
        <f>SUM(K108:K109)</f>
        <v>0</v>
      </c>
      <c r="L107" s="38">
        <f>IF(K264=0,0,K107/K264)</f>
        <v>0</v>
      </c>
      <c r="M107" s="28"/>
      <c r="AI107" s="28"/>
      <c r="AS107" s="35">
        <f>SUM(AJ108:AJ109)</f>
        <v>0</v>
      </c>
      <c r="AT107" s="35">
        <f>SUM(AK108:AK109)</f>
        <v>0</v>
      </c>
      <c r="AU107" s="35">
        <f>SUM(AL108:AL109)</f>
        <v>0</v>
      </c>
    </row>
    <row r="108" spans="1:62" x14ac:dyDescent="0.25">
      <c r="A108" s="134" t="s">
        <v>65</v>
      </c>
      <c r="B108" s="134" t="s">
        <v>257</v>
      </c>
      <c r="C108" s="235" t="s">
        <v>487</v>
      </c>
      <c r="D108" s="231"/>
      <c r="E108" s="231"/>
      <c r="F108" s="134" t="s">
        <v>628</v>
      </c>
      <c r="G108" s="78">
        <v>4</v>
      </c>
      <c r="H108" s="20">
        <v>0</v>
      </c>
      <c r="I108" s="13">
        <f>G108*AO108</f>
        <v>0</v>
      </c>
      <c r="J108" s="13">
        <f>G108*AP108</f>
        <v>0</v>
      </c>
      <c r="K108" s="13">
        <f>G108*H108</f>
        <v>0</v>
      </c>
      <c r="L108" s="39">
        <f>IF(K264=0,0,K108/K264)</f>
        <v>0</v>
      </c>
      <c r="M108" s="29" t="s">
        <v>657</v>
      </c>
      <c r="Z108" s="32">
        <f>IF(AQ108="5",BJ108,0)</f>
        <v>0</v>
      </c>
      <c r="AB108" s="32">
        <f>IF(AQ108="1",BH108,0)</f>
        <v>0</v>
      </c>
      <c r="AC108" s="32">
        <f>IF(AQ108="1",BI108,0)</f>
        <v>0</v>
      </c>
      <c r="AD108" s="32">
        <f>IF(AQ108="7",BH108,0)</f>
        <v>0</v>
      </c>
      <c r="AE108" s="32">
        <f>IF(AQ108="7",BI108,0)</f>
        <v>0</v>
      </c>
      <c r="AF108" s="32">
        <f>IF(AQ108="2",BH108,0)</f>
        <v>0</v>
      </c>
      <c r="AG108" s="32">
        <f>IF(AQ108="2",BI108,0)</f>
        <v>0</v>
      </c>
      <c r="AH108" s="32">
        <f>IF(AQ108="0",BJ108,0)</f>
        <v>0</v>
      </c>
      <c r="AI108" s="28"/>
      <c r="AJ108" s="13">
        <f>IF(AN108=0,K108,0)</f>
        <v>0</v>
      </c>
      <c r="AK108" s="13">
        <f>IF(AN108=15,K108,0)</f>
        <v>0</v>
      </c>
      <c r="AL108" s="13">
        <f>IF(AN108=21,K108,0)</f>
        <v>0</v>
      </c>
      <c r="AN108" s="32">
        <v>21</v>
      </c>
      <c r="AO108" s="32">
        <f>H108*1</f>
        <v>0</v>
      </c>
      <c r="AP108" s="32">
        <f>H108*(1-1)</f>
        <v>0</v>
      </c>
      <c r="AQ108" s="29" t="s">
        <v>13</v>
      </c>
      <c r="AV108" s="32">
        <f>AW108+AX108</f>
        <v>0</v>
      </c>
      <c r="AW108" s="32">
        <f>G108*AO108</f>
        <v>0</v>
      </c>
      <c r="AX108" s="32">
        <f>G108*AP108</f>
        <v>0</v>
      </c>
      <c r="AY108" s="33" t="s">
        <v>686</v>
      </c>
      <c r="AZ108" s="33" t="s">
        <v>715</v>
      </c>
      <c r="BA108" s="28" t="s">
        <v>721</v>
      </c>
      <c r="BC108" s="32">
        <f>AW108+AX108</f>
        <v>0</v>
      </c>
      <c r="BD108" s="32">
        <f>H108/(100-BE108)*100</f>
        <v>0</v>
      </c>
      <c r="BE108" s="32">
        <v>0</v>
      </c>
      <c r="BF108" s="32">
        <f>112</f>
        <v>112</v>
      </c>
      <c r="BH108" s="13">
        <f>G108*AO108</f>
        <v>0</v>
      </c>
      <c r="BI108" s="13">
        <f>G108*AP108</f>
        <v>0</v>
      </c>
      <c r="BJ108" s="13">
        <f>G108*H108</f>
        <v>0</v>
      </c>
    </row>
    <row r="109" spans="1:62" x14ac:dyDescent="0.25">
      <c r="A109" s="132" t="s">
        <v>66</v>
      </c>
      <c r="B109" s="132" t="s">
        <v>258</v>
      </c>
      <c r="C109" s="225" t="s">
        <v>488</v>
      </c>
      <c r="D109" s="221"/>
      <c r="E109" s="221"/>
      <c r="F109" s="132" t="s">
        <v>628</v>
      </c>
      <c r="G109" s="77">
        <v>4</v>
      </c>
      <c r="H109" s="17">
        <v>0</v>
      </c>
      <c r="I109" s="12">
        <f>G109*AO109</f>
        <v>0</v>
      </c>
      <c r="J109" s="12">
        <f>G109*AP109</f>
        <v>0</v>
      </c>
      <c r="K109" s="12">
        <f>G109*H109</f>
        <v>0</v>
      </c>
      <c r="L109" s="37">
        <f>IF(K264=0,0,K109/K264)</f>
        <v>0</v>
      </c>
      <c r="M109" s="27" t="s">
        <v>657</v>
      </c>
      <c r="Z109" s="32">
        <f>IF(AQ109="5",BJ109,0)</f>
        <v>0</v>
      </c>
      <c r="AB109" s="32">
        <f>IF(AQ109="1",BH109,0)</f>
        <v>0</v>
      </c>
      <c r="AC109" s="32">
        <f>IF(AQ109="1",BI109,0)</f>
        <v>0</v>
      </c>
      <c r="AD109" s="32">
        <f>IF(AQ109="7",BH109,0)</f>
        <v>0</v>
      </c>
      <c r="AE109" s="32">
        <f>IF(AQ109="7",BI109,0)</f>
        <v>0</v>
      </c>
      <c r="AF109" s="32">
        <f>IF(AQ109="2",BH109,0)</f>
        <v>0</v>
      </c>
      <c r="AG109" s="32">
        <f>IF(AQ109="2",BI109,0)</f>
        <v>0</v>
      </c>
      <c r="AH109" s="32">
        <f>IF(AQ109="0",BJ109,0)</f>
        <v>0</v>
      </c>
      <c r="AI109" s="28"/>
      <c r="AJ109" s="12">
        <f>IF(AN109=0,K109,0)</f>
        <v>0</v>
      </c>
      <c r="AK109" s="12">
        <f>IF(AN109=15,K109,0)</f>
        <v>0</v>
      </c>
      <c r="AL109" s="12">
        <f>IF(AN109=21,K109,0)</f>
        <v>0</v>
      </c>
      <c r="AN109" s="32">
        <v>21</v>
      </c>
      <c r="AO109" s="32">
        <f>H109*0</f>
        <v>0</v>
      </c>
      <c r="AP109" s="32">
        <f>H109*(1-0)</f>
        <v>0</v>
      </c>
      <c r="AQ109" s="27" t="s">
        <v>13</v>
      </c>
      <c r="AV109" s="32">
        <f>AW109+AX109</f>
        <v>0</v>
      </c>
      <c r="AW109" s="32">
        <f>G109*AO109</f>
        <v>0</v>
      </c>
      <c r="AX109" s="32">
        <f>G109*AP109</f>
        <v>0</v>
      </c>
      <c r="AY109" s="33" t="s">
        <v>686</v>
      </c>
      <c r="AZ109" s="33" t="s">
        <v>715</v>
      </c>
      <c r="BA109" s="28" t="s">
        <v>721</v>
      </c>
      <c r="BC109" s="32">
        <f>AW109+AX109</f>
        <v>0</v>
      </c>
      <c r="BD109" s="32">
        <f>H109/(100-BE109)*100</f>
        <v>0</v>
      </c>
      <c r="BE109" s="32">
        <v>0</v>
      </c>
      <c r="BF109" s="32">
        <f>113</f>
        <v>113</v>
      </c>
      <c r="BH109" s="12">
        <f>G109*AO109</f>
        <v>0</v>
      </c>
      <c r="BI109" s="12">
        <f>G109*AP109</f>
        <v>0</v>
      </c>
      <c r="BJ109" s="12">
        <f>G109*H109</f>
        <v>0</v>
      </c>
    </row>
    <row r="110" spans="1:62" x14ac:dyDescent="0.25">
      <c r="A110" s="5"/>
      <c r="B110" s="133" t="s">
        <v>259</v>
      </c>
      <c r="C110" s="226" t="s">
        <v>489</v>
      </c>
      <c r="D110" s="227"/>
      <c r="E110" s="227"/>
      <c r="F110" s="5" t="s">
        <v>6</v>
      </c>
      <c r="G110" s="5" t="s">
        <v>6</v>
      </c>
      <c r="H110" s="18" t="s">
        <v>6</v>
      </c>
      <c r="I110" s="35">
        <f>SUM(I111:I113)</f>
        <v>0</v>
      </c>
      <c r="J110" s="35">
        <f>SUM(J111:J113)</f>
        <v>0</v>
      </c>
      <c r="K110" s="35">
        <f>SUM(K111:K113)</f>
        <v>0</v>
      </c>
      <c r="L110" s="38">
        <f>IF(K264=0,0,K110/K264)</f>
        <v>0</v>
      </c>
      <c r="M110" s="28"/>
      <c r="AI110" s="28"/>
      <c r="AS110" s="35">
        <f>SUM(AJ111:AJ113)</f>
        <v>0</v>
      </c>
      <c r="AT110" s="35">
        <f>SUM(AK111:AK113)</f>
        <v>0</v>
      </c>
      <c r="AU110" s="35">
        <f>SUM(AL111:AL113)</f>
        <v>0</v>
      </c>
    </row>
    <row r="111" spans="1:62" x14ac:dyDescent="0.25">
      <c r="A111" s="134" t="s">
        <v>67</v>
      </c>
      <c r="B111" s="134" t="s">
        <v>260</v>
      </c>
      <c r="C111" s="235" t="s">
        <v>1126</v>
      </c>
      <c r="D111" s="231"/>
      <c r="E111" s="231"/>
      <c r="F111" s="134" t="s">
        <v>628</v>
      </c>
      <c r="G111" s="78">
        <v>4</v>
      </c>
      <c r="H111" s="20">
        <v>0</v>
      </c>
      <c r="I111" s="13">
        <f>G111*AO111</f>
        <v>0</v>
      </c>
      <c r="J111" s="13">
        <f>G111*AP111</f>
        <v>0</v>
      </c>
      <c r="K111" s="13">
        <f>G111*H111</f>
        <v>0</v>
      </c>
      <c r="L111" s="39">
        <f>IF(K264=0,0,K111/K264)</f>
        <v>0</v>
      </c>
      <c r="M111" s="29" t="s">
        <v>657</v>
      </c>
      <c r="Z111" s="32">
        <f>IF(AQ111="5",BJ111,0)</f>
        <v>0</v>
      </c>
      <c r="AB111" s="32">
        <f>IF(AQ111="1",BH111,0)</f>
        <v>0</v>
      </c>
      <c r="AC111" s="32">
        <f>IF(AQ111="1",BI111,0)</f>
        <v>0</v>
      </c>
      <c r="AD111" s="32">
        <f>IF(AQ111="7",BH111,0)</f>
        <v>0</v>
      </c>
      <c r="AE111" s="32">
        <f>IF(AQ111="7",BI111,0)</f>
        <v>0</v>
      </c>
      <c r="AF111" s="32">
        <f>IF(AQ111="2",BH111,0)</f>
        <v>0</v>
      </c>
      <c r="AG111" s="32">
        <f>IF(AQ111="2",BI111,0)</f>
        <v>0</v>
      </c>
      <c r="AH111" s="32">
        <f>IF(AQ111="0",BJ111,0)</f>
        <v>0</v>
      </c>
      <c r="AI111" s="28"/>
      <c r="AJ111" s="13">
        <f>IF(AN111=0,K111,0)</f>
        <v>0</v>
      </c>
      <c r="AK111" s="13">
        <f>IF(AN111=15,K111,0)</f>
        <v>0</v>
      </c>
      <c r="AL111" s="13">
        <f>IF(AN111=21,K111,0)</f>
        <v>0</v>
      </c>
      <c r="AN111" s="32">
        <v>21</v>
      </c>
      <c r="AO111" s="32">
        <f>H111*1</f>
        <v>0</v>
      </c>
      <c r="AP111" s="32">
        <f>H111*(1-1)</f>
        <v>0</v>
      </c>
      <c r="AQ111" s="29" t="s">
        <v>13</v>
      </c>
      <c r="AV111" s="32">
        <f>AW111+AX111</f>
        <v>0</v>
      </c>
      <c r="AW111" s="32">
        <f>G111*AO111</f>
        <v>0</v>
      </c>
      <c r="AX111" s="32">
        <f>G111*AP111</f>
        <v>0</v>
      </c>
      <c r="AY111" s="33" t="s">
        <v>687</v>
      </c>
      <c r="AZ111" s="33" t="s">
        <v>716</v>
      </c>
      <c r="BA111" s="28" t="s">
        <v>721</v>
      </c>
      <c r="BC111" s="32">
        <f>AW111+AX111</f>
        <v>0</v>
      </c>
      <c r="BD111" s="32">
        <f>H111/(100-BE111)*100</f>
        <v>0</v>
      </c>
      <c r="BE111" s="32">
        <v>0</v>
      </c>
      <c r="BF111" s="32">
        <f>115</f>
        <v>115</v>
      </c>
      <c r="BH111" s="13">
        <f>G111*AO111</f>
        <v>0</v>
      </c>
      <c r="BI111" s="13">
        <f>G111*AP111</f>
        <v>0</v>
      </c>
      <c r="BJ111" s="13">
        <f>G111*H111</f>
        <v>0</v>
      </c>
    </row>
    <row r="112" spans="1:62" x14ac:dyDescent="0.25">
      <c r="A112" s="132" t="s">
        <v>68</v>
      </c>
      <c r="B112" s="132" t="s">
        <v>261</v>
      </c>
      <c r="C112" s="225" t="s">
        <v>490</v>
      </c>
      <c r="D112" s="221"/>
      <c r="E112" s="221"/>
      <c r="F112" s="132" t="s">
        <v>630</v>
      </c>
      <c r="G112" s="77">
        <v>4</v>
      </c>
      <c r="H112" s="17">
        <v>0</v>
      </c>
      <c r="I112" s="12">
        <f>G112*AO112</f>
        <v>0</v>
      </c>
      <c r="J112" s="12">
        <f>G112*AP112</f>
        <v>0</v>
      </c>
      <c r="K112" s="12">
        <f>G112*H112</f>
        <v>0</v>
      </c>
      <c r="L112" s="37">
        <f>IF(K264=0,0,K112/K264)</f>
        <v>0</v>
      </c>
      <c r="M112" s="27" t="s">
        <v>657</v>
      </c>
      <c r="Z112" s="32">
        <f>IF(AQ112="5",BJ112,0)</f>
        <v>0</v>
      </c>
      <c r="AB112" s="32">
        <f>IF(AQ112="1",BH112,0)</f>
        <v>0</v>
      </c>
      <c r="AC112" s="32">
        <f>IF(AQ112="1",BI112,0)</f>
        <v>0</v>
      </c>
      <c r="AD112" s="32">
        <f>IF(AQ112="7",BH112,0)</f>
        <v>0</v>
      </c>
      <c r="AE112" s="32">
        <f>IF(AQ112="7",BI112,0)</f>
        <v>0</v>
      </c>
      <c r="AF112" s="32">
        <f>IF(AQ112="2",BH112,0)</f>
        <v>0</v>
      </c>
      <c r="AG112" s="32">
        <f>IF(AQ112="2",BI112,0)</f>
        <v>0</v>
      </c>
      <c r="AH112" s="32">
        <f>IF(AQ112="0",BJ112,0)</f>
        <v>0</v>
      </c>
      <c r="AI112" s="28"/>
      <c r="AJ112" s="12">
        <f>IF(AN112=0,K112,0)</f>
        <v>0</v>
      </c>
      <c r="AK112" s="12">
        <f>IF(AN112=15,K112,0)</f>
        <v>0</v>
      </c>
      <c r="AL112" s="12">
        <f>IF(AN112=21,K112,0)</f>
        <v>0</v>
      </c>
      <c r="AN112" s="32">
        <v>21</v>
      </c>
      <c r="AO112" s="32">
        <f>H112*0.256152897657213</f>
        <v>0</v>
      </c>
      <c r="AP112" s="32">
        <f>H112*(1-0.256152897657213)</f>
        <v>0</v>
      </c>
      <c r="AQ112" s="27" t="s">
        <v>13</v>
      </c>
      <c r="AV112" s="32">
        <f>AW112+AX112</f>
        <v>0</v>
      </c>
      <c r="AW112" s="32">
        <f>G112*AO112</f>
        <v>0</v>
      </c>
      <c r="AX112" s="32">
        <f>G112*AP112</f>
        <v>0</v>
      </c>
      <c r="AY112" s="33" t="s">
        <v>687</v>
      </c>
      <c r="AZ112" s="33" t="s">
        <v>716</v>
      </c>
      <c r="BA112" s="28" t="s">
        <v>721</v>
      </c>
      <c r="BC112" s="32">
        <f>AW112+AX112</f>
        <v>0</v>
      </c>
      <c r="BD112" s="32">
        <f>H112/(100-BE112)*100</f>
        <v>0</v>
      </c>
      <c r="BE112" s="32">
        <v>0</v>
      </c>
      <c r="BF112" s="32">
        <f>116</f>
        <v>116</v>
      </c>
      <c r="BH112" s="12">
        <f>G112*AO112</f>
        <v>0</v>
      </c>
      <c r="BI112" s="12">
        <f>G112*AP112</f>
        <v>0</v>
      </c>
      <c r="BJ112" s="12">
        <f>G112*H112</f>
        <v>0</v>
      </c>
    </row>
    <row r="113" spans="1:62" x14ac:dyDescent="0.25">
      <c r="A113" s="132" t="s">
        <v>69</v>
      </c>
      <c r="B113" s="132" t="s">
        <v>262</v>
      </c>
      <c r="C113" s="225" t="s">
        <v>491</v>
      </c>
      <c r="D113" s="221"/>
      <c r="E113" s="221"/>
      <c r="F113" s="132" t="s">
        <v>627</v>
      </c>
      <c r="G113" s="77">
        <v>0.47399999999999998</v>
      </c>
      <c r="H113" s="17">
        <v>0</v>
      </c>
      <c r="I113" s="12">
        <f>G113*AO113</f>
        <v>0</v>
      </c>
      <c r="J113" s="12">
        <f>G113*AP113</f>
        <v>0</v>
      </c>
      <c r="K113" s="12">
        <f>G113*H113</f>
        <v>0</v>
      </c>
      <c r="L113" s="37">
        <f>IF(K264=0,0,K113/K264)</f>
        <v>0</v>
      </c>
      <c r="M113" s="27" t="s">
        <v>657</v>
      </c>
      <c r="Z113" s="32">
        <f>IF(AQ113="5",BJ113,0)</f>
        <v>0</v>
      </c>
      <c r="AB113" s="32">
        <f>IF(AQ113="1",BH113,0)</f>
        <v>0</v>
      </c>
      <c r="AC113" s="32">
        <f>IF(AQ113="1",BI113,0)</f>
        <v>0</v>
      </c>
      <c r="AD113" s="32">
        <f>IF(AQ113="7",BH113,0)</f>
        <v>0</v>
      </c>
      <c r="AE113" s="32">
        <f>IF(AQ113="7",BI113,0)</f>
        <v>0</v>
      </c>
      <c r="AF113" s="32">
        <f>IF(AQ113="2",BH113,0)</f>
        <v>0</v>
      </c>
      <c r="AG113" s="32">
        <f>IF(AQ113="2",BI113,0)</f>
        <v>0</v>
      </c>
      <c r="AH113" s="32">
        <f>IF(AQ113="0",BJ113,0)</f>
        <v>0</v>
      </c>
      <c r="AI113" s="28"/>
      <c r="AJ113" s="12">
        <f>IF(AN113=0,K113,0)</f>
        <v>0</v>
      </c>
      <c r="AK113" s="12">
        <f>IF(AN113=15,K113,0)</f>
        <v>0</v>
      </c>
      <c r="AL113" s="12">
        <f>IF(AN113=21,K113,0)</f>
        <v>0</v>
      </c>
      <c r="AN113" s="32">
        <v>21</v>
      </c>
      <c r="AO113" s="32">
        <f>H113*0</f>
        <v>0</v>
      </c>
      <c r="AP113" s="32">
        <f>H113*(1-0)</f>
        <v>0</v>
      </c>
      <c r="AQ113" s="27" t="s">
        <v>11</v>
      </c>
      <c r="AV113" s="32">
        <f>AW113+AX113</f>
        <v>0</v>
      </c>
      <c r="AW113" s="32">
        <f>G113*AO113</f>
        <v>0</v>
      </c>
      <c r="AX113" s="32">
        <f>G113*AP113</f>
        <v>0</v>
      </c>
      <c r="AY113" s="33" t="s">
        <v>687</v>
      </c>
      <c r="AZ113" s="33" t="s">
        <v>716</v>
      </c>
      <c r="BA113" s="28" t="s">
        <v>721</v>
      </c>
      <c r="BC113" s="32">
        <f>AW113+AX113</f>
        <v>0</v>
      </c>
      <c r="BD113" s="32">
        <f>H113/(100-BE113)*100</f>
        <v>0</v>
      </c>
      <c r="BE113" s="32">
        <v>0</v>
      </c>
      <c r="BF113" s="32">
        <f>117</f>
        <v>117</v>
      </c>
      <c r="BH113" s="12">
        <f>G113*AO113</f>
        <v>0</v>
      </c>
      <c r="BI113" s="12">
        <f>G113*AP113</f>
        <v>0</v>
      </c>
      <c r="BJ113" s="12">
        <f>G113*H113</f>
        <v>0</v>
      </c>
    </row>
    <row r="114" spans="1:62" x14ac:dyDescent="0.25">
      <c r="A114" s="5"/>
      <c r="B114" s="133" t="s">
        <v>263</v>
      </c>
      <c r="C114" s="226" t="s">
        <v>492</v>
      </c>
      <c r="D114" s="227"/>
      <c r="E114" s="227"/>
      <c r="F114" s="5" t="s">
        <v>6</v>
      </c>
      <c r="G114" s="5" t="s">
        <v>6</v>
      </c>
      <c r="H114" s="18" t="s">
        <v>6</v>
      </c>
      <c r="I114" s="35">
        <f>SUM(I115:I118)</f>
        <v>0</v>
      </c>
      <c r="J114" s="35">
        <f>SUM(J115:J118)</f>
        <v>0</v>
      </c>
      <c r="K114" s="35">
        <f>SUM(K115:K118)</f>
        <v>0</v>
      </c>
      <c r="L114" s="38">
        <f>IF(K264=0,0,K114/K264)</f>
        <v>0</v>
      </c>
      <c r="M114" s="28"/>
      <c r="AI114" s="28"/>
      <c r="AS114" s="35">
        <f>SUM(AJ115:AJ118)</f>
        <v>0</v>
      </c>
      <c r="AT114" s="35">
        <f>SUM(AK115:AK118)</f>
        <v>0</v>
      </c>
      <c r="AU114" s="35">
        <f>SUM(AL115:AL118)</f>
        <v>0</v>
      </c>
    </row>
    <row r="115" spans="1:62" x14ac:dyDescent="0.25">
      <c r="A115" s="102" t="s">
        <v>70</v>
      </c>
      <c r="B115" s="102" t="s">
        <v>264</v>
      </c>
      <c r="C115" s="233" t="s">
        <v>1127</v>
      </c>
      <c r="D115" s="231"/>
      <c r="E115" s="234"/>
      <c r="F115" s="102" t="s">
        <v>631</v>
      </c>
      <c r="G115" s="103">
        <v>573.86800000000005</v>
      </c>
      <c r="H115" s="20">
        <v>0</v>
      </c>
      <c r="I115" s="104">
        <f>G115*AO115</f>
        <v>0</v>
      </c>
      <c r="J115" s="104">
        <f>G115*AP115</f>
        <v>0</v>
      </c>
      <c r="K115" s="104">
        <f>G115*H115</f>
        <v>0</v>
      </c>
      <c r="L115" s="105">
        <f>IF(K264=0,0,K115/K264)</f>
        <v>0</v>
      </c>
      <c r="M115" s="106"/>
      <c r="Z115" s="32">
        <f>IF(AQ115="5",BJ115,0)</f>
        <v>0</v>
      </c>
      <c r="AB115" s="32">
        <f>IF(AQ115="1",BH115,0)</f>
        <v>0</v>
      </c>
      <c r="AC115" s="32">
        <f>IF(AQ115="1",BI115,0)</f>
        <v>0</v>
      </c>
      <c r="AD115" s="32">
        <f>IF(AQ115="7",BH115,0)</f>
        <v>0</v>
      </c>
      <c r="AE115" s="32">
        <f>IF(AQ115="7",BI115,0)</f>
        <v>0</v>
      </c>
      <c r="AF115" s="32">
        <f>IF(AQ115="2",BH115,0)</f>
        <v>0</v>
      </c>
      <c r="AG115" s="32">
        <f>IF(AQ115="2",BI115,0)</f>
        <v>0</v>
      </c>
      <c r="AH115" s="32">
        <f>IF(AQ115="0",BJ115,0)</f>
        <v>0</v>
      </c>
      <c r="AI115" s="28"/>
      <c r="AJ115" s="13">
        <f>IF(AN115=0,K115,0)</f>
        <v>0</v>
      </c>
      <c r="AK115" s="13">
        <f>IF(AN115=15,K115,0)</f>
        <v>0</v>
      </c>
      <c r="AL115" s="13">
        <f>IF(AN115=21,K115,0)</f>
        <v>0</v>
      </c>
      <c r="AN115" s="32">
        <v>21</v>
      </c>
      <c r="AO115" s="32">
        <f>H115*1</f>
        <v>0</v>
      </c>
      <c r="AP115" s="32">
        <f>H115*(1-1)</f>
        <v>0</v>
      </c>
      <c r="AQ115" s="29" t="s">
        <v>13</v>
      </c>
      <c r="AV115" s="32">
        <f>AW115+AX115</f>
        <v>0</v>
      </c>
      <c r="AW115" s="32">
        <f>G115*AO115</f>
        <v>0</v>
      </c>
      <c r="AX115" s="32">
        <f>G115*AP115</f>
        <v>0</v>
      </c>
      <c r="AY115" s="33" t="s">
        <v>688</v>
      </c>
      <c r="AZ115" s="33" t="s">
        <v>717</v>
      </c>
      <c r="BA115" s="28" t="s">
        <v>721</v>
      </c>
      <c r="BC115" s="32">
        <f>AW115+AX115</f>
        <v>0</v>
      </c>
      <c r="BD115" s="32">
        <f>H115/(100-BE115)*100</f>
        <v>0</v>
      </c>
      <c r="BE115" s="32">
        <v>0</v>
      </c>
      <c r="BF115" s="32">
        <f>119</f>
        <v>119</v>
      </c>
      <c r="BH115" s="13">
        <f>G115*AO115</f>
        <v>0</v>
      </c>
      <c r="BI115" s="13">
        <f>G115*AP115</f>
        <v>0</v>
      </c>
      <c r="BJ115" s="13">
        <f>G115*H115</f>
        <v>0</v>
      </c>
    </row>
    <row r="116" spans="1:62" x14ac:dyDescent="0.25">
      <c r="A116" s="138" t="s">
        <v>71</v>
      </c>
      <c r="B116" s="138" t="s">
        <v>265</v>
      </c>
      <c r="C116" s="230" t="s">
        <v>1128</v>
      </c>
      <c r="D116" s="231"/>
      <c r="E116" s="232"/>
      <c r="F116" s="138" t="s">
        <v>631</v>
      </c>
      <c r="G116" s="97">
        <v>1617.7650000000001</v>
      </c>
      <c r="H116" s="20">
        <v>0</v>
      </c>
      <c r="I116" s="98">
        <f>G116*AO116</f>
        <v>0</v>
      </c>
      <c r="J116" s="98">
        <f>G116*AP116</f>
        <v>0</v>
      </c>
      <c r="K116" s="98">
        <f>G116*H116</f>
        <v>0</v>
      </c>
      <c r="L116" s="99">
        <f>IF(K264=0,0,K116/K264)</f>
        <v>0</v>
      </c>
      <c r="M116" s="100"/>
      <c r="Z116" s="32">
        <f>IF(AQ116="5",BJ116,0)</f>
        <v>0</v>
      </c>
      <c r="AB116" s="32">
        <f>IF(AQ116="1",BH116,0)</f>
        <v>0</v>
      </c>
      <c r="AC116" s="32">
        <f>IF(AQ116="1",BI116,0)</f>
        <v>0</v>
      </c>
      <c r="AD116" s="32">
        <f>IF(AQ116="7",BH116,0)</f>
        <v>0</v>
      </c>
      <c r="AE116" s="32">
        <f>IF(AQ116="7",BI116,0)</f>
        <v>0</v>
      </c>
      <c r="AF116" s="32">
        <f>IF(AQ116="2",BH116,0)</f>
        <v>0</v>
      </c>
      <c r="AG116" s="32">
        <f>IF(AQ116="2",BI116,0)</f>
        <v>0</v>
      </c>
      <c r="AH116" s="32">
        <f>IF(AQ116="0",BJ116,0)</f>
        <v>0</v>
      </c>
      <c r="AI116" s="28"/>
      <c r="AJ116" s="13">
        <f>IF(AN116=0,K116,0)</f>
        <v>0</v>
      </c>
      <c r="AK116" s="13">
        <f>IF(AN116=15,K116,0)</f>
        <v>0</v>
      </c>
      <c r="AL116" s="13">
        <f>IF(AN116=21,K116,0)</f>
        <v>0</v>
      </c>
      <c r="AN116" s="32">
        <v>21</v>
      </c>
      <c r="AO116" s="32">
        <f>H116*1</f>
        <v>0</v>
      </c>
      <c r="AP116" s="32">
        <f>H116*(1-1)</f>
        <v>0</v>
      </c>
      <c r="AQ116" s="29" t="s">
        <v>13</v>
      </c>
      <c r="AV116" s="32">
        <f>AW116+AX116</f>
        <v>0</v>
      </c>
      <c r="AW116" s="32">
        <f>G116*AO116</f>
        <v>0</v>
      </c>
      <c r="AX116" s="32">
        <f>G116*AP116</f>
        <v>0</v>
      </c>
      <c r="AY116" s="33" t="s">
        <v>688</v>
      </c>
      <c r="AZ116" s="33" t="s">
        <v>717</v>
      </c>
      <c r="BA116" s="28" t="s">
        <v>721</v>
      </c>
      <c r="BC116" s="32">
        <f>AW116+AX116</f>
        <v>0</v>
      </c>
      <c r="BD116" s="32">
        <f>H116/(100-BE116)*100</f>
        <v>0</v>
      </c>
      <c r="BE116" s="32">
        <v>0</v>
      </c>
      <c r="BF116" s="32">
        <f>120</f>
        <v>120</v>
      </c>
      <c r="BH116" s="13">
        <f>G116*AO116</f>
        <v>0</v>
      </c>
      <c r="BI116" s="13">
        <f>G116*AP116</f>
        <v>0</v>
      </c>
      <c r="BJ116" s="13">
        <f>G116*H116</f>
        <v>0</v>
      </c>
    </row>
    <row r="117" spans="1:62" x14ac:dyDescent="0.25">
      <c r="A117" s="132" t="s">
        <v>72</v>
      </c>
      <c r="B117" s="132" t="s">
        <v>266</v>
      </c>
      <c r="C117" s="225" t="s">
        <v>493</v>
      </c>
      <c r="D117" s="221"/>
      <c r="E117" s="221"/>
      <c r="F117" s="132" t="s">
        <v>629</v>
      </c>
      <c r="G117" s="77">
        <v>2029.29</v>
      </c>
      <c r="H117" s="17">
        <v>0</v>
      </c>
      <c r="I117" s="12">
        <f>G117*AO117</f>
        <v>0</v>
      </c>
      <c r="J117" s="12">
        <f>G117*AP117</f>
        <v>0</v>
      </c>
      <c r="K117" s="12">
        <f>G117*H117</f>
        <v>0</v>
      </c>
      <c r="L117" s="37">
        <f>IF(K264=0,0,K117/K264)</f>
        <v>0</v>
      </c>
      <c r="M117" s="27" t="s">
        <v>657</v>
      </c>
      <c r="Z117" s="32">
        <f>IF(AQ117="5",BJ117,0)</f>
        <v>0</v>
      </c>
      <c r="AB117" s="32">
        <f>IF(AQ117="1",BH117,0)</f>
        <v>0</v>
      </c>
      <c r="AC117" s="32">
        <f>IF(AQ117="1",BI117,0)</f>
        <v>0</v>
      </c>
      <c r="AD117" s="32">
        <f>IF(AQ117="7",BH117,0)</f>
        <v>0</v>
      </c>
      <c r="AE117" s="32">
        <f>IF(AQ117="7",BI117,0)</f>
        <v>0</v>
      </c>
      <c r="AF117" s="32">
        <f>IF(AQ117="2",BH117,0)</f>
        <v>0</v>
      </c>
      <c r="AG117" s="32">
        <f>IF(AQ117="2",BI117,0)</f>
        <v>0</v>
      </c>
      <c r="AH117" s="32">
        <f>IF(AQ117="0",BJ117,0)</f>
        <v>0</v>
      </c>
      <c r="AI117" s="28"/>
      <c r="AJ117" s="12">
        <f>IF(AN117=0,K117,0)</f>
        <v>0</v>
      </c>
      <c r="AK117" s="12">
        <f>IF(AN117=15,K117,0)</f>
        <v>0</v>
      </c>
      <c r="AL117" s="12">
        <f>IF(AN117=21,K117,0)</f>
        <v>0</v>
      </c>
      <c r="AN117" s="32">
        <v>21</v>
      </c>
      <c r="AO117" s="32">
        <f>H117*0.0582066790836031</f>
        <v>0</v>
      </c>
      <c r="AP117" s="32">
        <f>H117*(1-0.0582066790836031)</f>
        <v>0</v>
      </c>
      <c r="AQ117" s="27" t="s">
        <v>13</v>
      </c>
      <c r="AV117" s="32">
        <f>AW117+AX117</f>
        <v>0</v>
      </c>
      <c r="AW117" s="32">
        <f>G117*AO117</f>
        <v>0</v>
      </c>
      <c r="AX117" s="32">
        <f>G117*AP117</f>
        <v>0</v>
      </c>
      <c r="AY117" s="33" t="s">
        <v>688</v>
      </c>
      <c r="AZ117" s="33" t="s">
        <v>717</v>
      </c>
      <c r="BA117" s="28" t="s">
        <v>721</v>
      </c>
      <c r="BC117" s="32">
        <f>AW117+AX117</f>
        <v>0</v>
      </c>
      <c r="BD117" s="32">
        <f>H117/(100-BE117)*100</f>
        <v>0</v>
      </c>
      <c r="BE117" s="32">
        <v>0</v>
      </c>
      <c r="BF117" s="32">
        <f>121</f>
        <v>121</v>
      </c>
      <c r="BH117" s="12">
        <f>G117*AO117</f>
        <v>0</v>
      </c>
      <c r="BI117" s="12">
        <f>G117*AP117</f>
        <v>0</v>
      </c>
      <c r="BJ117" s="12">
        <f>G117*H117</f>
        <v>0</v>
      </c>
    </row>
    <row r="118" spans="1:62" x14ac:dyDescent="0.25">
      <c r="A118" s="137" t="s">
        <v>73</v>
      </c>
      <c r="B118" s="137" t="s">
        <v>267</v>
      </c>
      <c r="C118" s="223" t="s">
        <v>494</v>
      </c>
      <c r="D118" s="221"/>
      <c r="E118" s="224"/>
      <c r="F118" s="137" t="s">
        <v>627</v>
      </c>
      <c r="G118" s="92">
        <v>15.009</v>
      </c>
      <c r="H118" s="17">
        <v>0</v>
      </c>
      <c r="I118" s="93">
        <f>G118*AO118</f>
        <v>0</v>
      </c>
      <c r="J118" s="93">
        <f>G118*AP118</f>
        <v>0</v>
      </c>
      <c r="K118" s="93">
        <f>G118*H118</f>
        <v>0</v>
      </c>
      <c r="L118" s="94">
        <f>IF(K264=0,0,K118/K264)</f>
        <v>0</v>
      </c>
      <c r="M118" s="95" t="s">
        <v>657</v>
      </c>
      <c r="Z118" s="32">
        <f>IF(AQ118="5",BJ118,0)</f>
        <v>0</v>
      </c>
      <c r="AB118" s="32">
        <f>IF(AQ118="1",BH118,0)</f>
        <v>0</v>
      </c>
      <c r="AC118" s="32">
        <f>IF(AQ118="1",BI118,0)</f>
        <v>0</v>
      </c>
      <c r="AD118" s="32">
        <f>IF(AQ118="7",BH118,0)</f>
        <v>0</v>
      </c>
      <c r="AE118" s="32">
        <f>IF(AQ118="7",BI118,0)</f>
        <v>0</v>
      </c>
      <c r="AF118" s="32">
        <f>IF(AQ118="2",BH118,0)</f>
        <v>0</v>
      </c>
      <c r="AG118" s="32">
        <f>IF(AQ118="2",BI118,0)</f>
        <v>0</v>
      </c>
      <c r="AH118" s="32">
        <f>IF(AQ118="0",BJ118,0)</f>
        <v>0</v>
      </c>
      <c r="AI118" s="28"/>
      <c r="AJ118" s="12">
        <f>IF(AN118=0,K118,0)</f>
        <v>0</v>
      </c>
      <c r="AK118" s="12">
        <f>IF(AN118=15,K118,0)</f>
        <v>0</v>
      </c>
      <c r="AL118" s="12">
        <f>IF(AN118=21,K118,0)</f>
        <v>0</v>
      </c>
      <c r="AN118" s="32">
        <v>21</v>
      </c>
      <c r="AO118" s="32">
        <f>H118*0</f>
        <v>0</v>
      </c>
      <c r="AP118" s="32">
        <f>H118*(1-0)</f>
        <v>0</v>
      </c>
      <c r="AQ118" s="27" t="s">
        <v>11</v>
      </c>
      <c r="AV118" s="32">
        <f>AW118+AX118</f>
        <v>0</v>
      </c>
      <c r="AW118" s="32">
        <f>G118*AO118</f>
        <v>0</v>
      </c>
      <c r="AX118" s="32">
        <f>G118*AP118</f>
        <v>0</v>
      </c>
      <c r="AY118" s="33" t="s">
        <v>688</v>
      </c>
      <c r="AZ118" s="33" t="s">
        <v>717</v>
      </c>
      <c r="BA118" s="28" t="s">
        <v>721</v>
      </c>
      <c r="BC118" s="32">
        <f>AW118+AX118</f>
        <v>0</v>
      </c>
      <c r="BD118" s="32">
        <f>H118/(100-BE118)*100</f>
        <v>0</v>
      </c>
      <c r="BE118" s="32">
        <v>0</v>
      </c>
      <c r="BF118" s="32">
        <f>122</f>
        <v>122</v>
      </c>
      <c r="BH118" s="12">
        <f>G118*AO118</f>
        <v>0</v>
      </c>
      <c r="BI118" s="12">
        <f>G118*AP118</f>
        <v>0</v>
      </c>
      <c r="BJ118" s="12">
        <f>G118*H118</f>
        <v>0</v>
      </c>
    </row>
    <row r="119" spans="1:62" x14ac:dyDescent="0.25">
      <c r="A119" s="5"/>
      <c r="B119" s="133" t="s">
        <v>268</v>
      </c>
      <c r="C119" s="226" t="s">
        <v>495</v>
      </c>
      <c r="D119" s="227"/>
      <c r="E119" s="227"/>
      <c r="F119" s="5" t="s">
        <v>6</v>
      </c>
      <c r="G119" s="5" t="s">
        <v>6</v>
      </c>
      <c r="H119" s="18" t="s">
        <v>6</v>
      </c>
      <c r="I119" s="35">
        <f>SUM(I120:I131)</f>
        <v>0</v>
      </c>
      <c r="J119" s="35">
        <f>SUM(J120:J131)</f>
        <v>0</v>
      </c>
      <c r="K119" s="35">
        <f>SUM(K120:K131)</f>
        <v>0</v>
      </c>
      <c r="L119" s="38">
        <f>IF(K264=0,0,K119/K264)</f>
        <v>0</v>
      </c>
      <c r="M119" s="28"/>
      <c r="AI119" s="28"/>
      <c r="AS119" s="35">
        <f>SUM(AJ120:AJ131)</f>
        <v>0</v>
      </c>
      <c r="AT119" s="35">
        <f>SUM(AK120:AK131)</f>
        <v>0</v>
      </c>
      <c r="AU119" s="35">
        <f>SUM(AL120:AL131)</f>
        <v>0</v>
      </c>
    </row>
    <row r="120" spans="1:62" x14ac:dyDescent="0.25">
      <c r="A120" s="132" t="s">
        <v>74</v>
      </c>
      <c r="B120" s="132" t="s">
        <v>269</v>
      </c>
      <c r="C120" s="225" t="s">
        <v>496</v>
      </c>
      <c r="D120" s="221"/>
      <c r="E120" s="221"/>
      <c r="F120" s="132" t="s">
        <v>629</v>
      </c>
      <c r="G120" s="77">
        <v>7.8</v>
      </c>
      <c r="H120" s="17">
        <v>0</v>
      </c>
      <c r="I120" s="12">
        <f t="shared" ref="I120:I131" si="0">G120*AO120</f>
        <v>0</v>
      </c>
      <c r="J120" s="12">
        <f t="shared" ref="J120:J131" si="1">G120*AP120</f>
        <v>0</v>
      </c>
      <c r="K120" s="12">
        <f t="shared" ref="K120:K131" si="2">G120*H120</f>
        <v>0</v>
      </c>
      <c r="L120" s="37">
        <f>IF(K264=0,0,K120/K264)</f>
        <v>0</v>
      </c>
      <c r="M120" s="27" t="s">
        <v>657</v>
      </c>
      <c r="Z120" s="32">
        <f t="shared" ref="Z120:Z131" si="3">IF(AQ120="5",BJ120,0)</f>
        <v>0</v>
      </c>
      <c r="AB120" s="32">
        <f t="shared" ref="AB120:AB131" si="4">IF(AQ120="1",BH120,0)</f>
        <v>0</v>
      </c>
      <c r="AC120" s="32">
        <f t="shared" ref="AC120:AC131" si="5">IF(AQ120="1",BI120,0)</f>
        <v>0</v>
      </c>
      <c r="AD120" s="32">
        <f t="shared" ref="AD120:AD131" si="6">IF(AQ120="7",BH120,0)</f>
        <v>0</v>
      </c>
      <c r="AE120" s="32">
        <f t="shared" ref="AE120:AE131" si="7">IF(AQ120="7",BI120,0)</f>
        <v>0</v>
      </c>
      <c r="AF120" s="32">
        <f t="shared" ref="AF120:AF131" si="8">IF(AQ120="2",BH120,0)</f>
        <v>0</v>
      </c>
      <c r="AG120" s="32">
        <f t="shared" ref="AG120:AG131" si="9">IF(AQ120="2",BI120,0)</f>
        <v>0</v>
      </c>
      <c r="AH120" s="32">
        <f t="shared" ref="AH120:AH131" si="10">IF(AQ120="0",BJ120,0)</f>
        <v>0</v>
      </c>
      <c r="AI120" s="28"/>
      <c r="AJ120" s="12">
        <f t="shared" ref="AJ120:AJ131" si="11">IF(AN120=0,K120,0)</f>
        <v>0</v>
      </c>
      <c r="AK120" s="12">
        <f t="shared" ref="AK120:AK131" si="12">IF(AN120=15,K120,0)</f>
        <v>0</v>
      </c>
      <c r="AL120" s="12">
        <f t="shared" ref="AL120:AL131" si="13">IF(AN120=21,K120,0)</f>
        <v>0</v>
      </c>
      <c r="AN120" s="32">
        <v>21</v>
      </c>
      <c r="AO120" s="32">
        <f>H120*0</f>
        <v>0</v>
      </c>
      <c r="AP120" s="32">
        <f>H120*(1-0)</f>
        <v>0</v>
      </c>
      <c r="AQ120" s="27" t="s">
        <v>13</v>
      </c>
      <c r="AV120" s="32">
        <f t="shared" ref="AV120:AV131" si="14">AW120+AX120</f>
        <v>0</v>
      </c>
      <c r="AW120" s="32">
        <f t="shared" ref="AW120:AW131" si="15">G120*AO120</f>
        <v>0</v>
      </c>
      <c r="AX120" s="32">
        <f t="shared" ref="AX120:AX131" si="16">G120*AP120</f>
        <v>0</v>
      </c>
      <c r="AY120" s="33" t="s">
        <v>689</v>
      </c>
      <c r="AZ120" s="33" t="s">
        <v>717</v>
      </c>
      <c r="BA120" s="28" t="s">
        <v>721</v>
      </c>
      <c r="BC120" s="32">
        <f t="shared" ref="BC120:BC131" si="17">AW120+AX120</f>
        <v>0</v>
      </c>
      <c r="BD120" s="32">
        <f t="shared" ref="BD120:BD131" si="18">H120/(100-BE120)*100</f>
        <v>0</v>
      </c>
      <c r="BE120" s="32">
        <v>0</v>
      </c>
      <c r="BF120" s="32">
        <f>124</f>
        <v>124</v>
      </c>
      <c r="BH120" s="12">
        <f t="shared" ref="BH120:BH131" si="19">G120*AO120</f>
        <v>0</v>
      </c>
      <c r="BI120" s="12">
        <f t="shared" ref="BI120:BI131" si="20">G120*AP120</f>
        <v>0</v>
      </c>
      <c r="BJ120" s="12">
        <f t="shared" ref="BJ120:BJ131" si="21">G120*H120</f>
        <v>0</v>
      </c>
    </row>
    <row r="121" spans="1:62" x14ac:dyDescent="0.25">
      <c r="A121" s="132" t="s">
        <v>75</v>
      </c>
      <c r="B121" s="132" t="s">
        <v>270</v>
      </c>
      <c r="C121" s="225" t="s">
        <v>497</v>
      </c>
      <c r="D121" s="221"/>
      <c r="E121" s="221"/>
      <c r="F121" s="132" t="s">
        <v>625</v>
      </c>
      <c r="G121" s="77">
        <v>369.56799999999998</v>
      </c>
      <c r="H121" s="17">
        <v>0</v>
      </c>
      <c r="I121" s="12">
        <f t="shared" si="0"/>
        <v>0</v>
      </c>
      <c r="J121" s="12">
        <f t="shared" si="1"/>
        <v>0</v>
      </c>
      <c r="K121" s="12">
        <f t="shared" si="2"/>
        <v>0</v>
      </c>
      <c r="L121" s="37">
        <f>IF(K264=0,0,K121/K264)</f>
        <v>0</v>
      </c>
      <c r="M121" s="27" t="s">
        <v>657</v>
      </c>
      <c r="Z121" s="32">
        <f t="shared" si="3"/>
        <v>0</v>
      </c>
      <c r="AB121" s="32">
        <f t="shared" si="4"/>
        <v>0</v>
      </c>
      <c r="AC121" s="32">
        <f t="shared" si="5"/>
        <v>0</v>
      </c>
      <c r="AD121" s="32">
        <f t="shared" si="6"/>
        <v>0</v>
      </c>
      <c r="AE121" s="32">
        <f t="shared" si="7"/>
        <v>0</v>
      </c>
      <c r="AF121" s="32">
        <f t="shared" si="8"/>
        <v>0</v>
      </c>
      <c r="AG121" s="32">
        <f t="shared" si="9"/>
        <v>0</v>
      </c>
      <c r="AH121" s="32">
        <f t="shared" si="10"/>
        <v>0</v>
      </c>
      <c r="AI121" s="28"/>
      <c r="AJ121" s="12">
        <f t="shared" si="11"/>
        <v>0</v>
      </c>
      <c r="AK121" s="12">
        <f t="shared" si="12"/>
        <v>0</v>
      </c>
      <c r="AL121" s="12">
        <f t="shared" si="13"/>
        <v>0</v>
      </c>
      <c r="AN121" s="32">
        <v>21</v>
      </c>
      <c r="AO121" s="32">
        <f>H121*0</f>
        <v>0</v>
      </c>
      <c r="AP121" s="32">
        <f>H121*(1-0)</f>
        <v>0</v>
      </c>
      <c r="AQ121" s="27" t="s">
        <v>13</v>
      </c>
      <c r="AV121" s="32">
        <f t="shared" si="14"/>
        <v>0</v>
      </c>
      <c r="AW121" s="32">
        <f t="shared" si="15"/>
        <v>0</v>
      </c>
      <c r="AX121" s="32">
        <f t="shared" si="16"/>
        <v>0</v>
      </c>
      <c r="AY121" s="33" t="s">
        <v>689</v>
      </c>
      <c r="AZ121" s="33" t="s">
        <v>717</v>
      </c>
      <c r="BA121" s="28" t="s">
        <v>721</v>
      </c>
      <c r="BC121" s="32">
        <f t="shared" si="17"/>
        <v>0</v>
      </c>
      <c r="BD121" s="32">
        <f t="shared" si="18"/>
        <v>0</v>
      </c>
      <c r="BE121" s="32">
        <v>0</v>
      </c>
      <c r="BF121" s="32">
        <f>125</f>
        <v>125</v>
      </c>
      <c r="BH121" s="12">
        <f t="shared" si="19"/>
        <v>0</v>
      </c>
      <c r="BI121" s="12">
        <f t="shared" si="20"/>
        <v>0</v>
      </c>
      <c r="BJ121" s="12">
        <f t="shared" si="21"/>
        <v>0</v>
      </c>
    </row>
    <row r="122" spans="1:62" x14ac:dyDescent="0.25">
      <c r="A122" s="132" t="s">
        <v>76</v>
      </c>
      <c r="B122" s="132" t="s">
        <v>271</v>
      </c>
      <c r="C122" s="225" t="s">
        <v>498</v>
      </c>
      <c r="D122" s="221"/>
      <c r="E122" s="221"/>
      <c r="F122" s="132" t="s">
        <v>629</v>
      </c>
      <c r="G122" s="77">
        <v>52.06</v>
      </c>
      <c r="H122" s="17">
        <v>0</v>
      </c>
      <c r="I122" s="12">
        <f t="shared" si="0"/>
        <v>0</v>
      </c>
      <c r="J122" s="12">
        <f t="shared" si="1"/>
        <v>0</v>
      </c>
      <c r="K122" s="12">
        <f t="shared" si="2"/>
        <v>0</v>
      </c>
      <c r="L122" s="37">
        <f>IF(K264=0,0,K122/K264)</f>
        <v>0</v>
      </c>
      <c r="M122" s="27" t="s">
        <v>657</v>
      </c>
      <c r="Z122" s="32">
        <f t="shared" si="3"/>
        <v>0</v>
      </c>
      <c r="AB122" s="32">
        <f t="shared" si="4"/>
        <v>0</v>
      </c>
      <c r="AC122" s="32">
        <f t="shared" si="5"/>
        <v>0</v>
      </c>
      <c r="AD122" s="32">
        <f t="shared" si="6"/>
        <v>0</v>
      </c>
      <c r="AE122" s="32">
        <f t="shared" si="7"/>
        <v>0</v>
      </c>
      <c r="AF122" s="32">
        <f t="shared" si="8"/>
        <v>0</v>
      </c>
      <c r="AG122" s="32">
        <f t="shared" si="9"/>
        <v>0</v>
      </c>
      <c r="AH122" s="32">
        <f t="shared" si="10"/>
        <v>0</v>
      </c>
      <c r="AI122" s="28"/>
      <c r="AJ122" s="12">
        <f t="shared" si="11"/>
        <v>0</v>
      </c>
      <c r="AK122" s="12">
        <f t="shared" si="12"/>
        <v>0</v>
      </c>
      <c r="AL122" s="12">
        <f t="shared" si="13"/>
        <v>0</v>
      </c>
      <c r="AN122" s="32">
        <v>21</v>
      </c>
      <c r="AO122" s="32">
        <f>H122*0</f>
        <v>0</v>
      </c>
      <c r="AP122" s="32">
        <f>H122*(1-0)</f>
        <v>0</v>
      </c>
      <c r="AQ122" s="27" t="s">
        <v>13</v>
      </c>
      <c r="AV122" s="32">
        <f t="shared" si="14"/>
        <v>0</v>
      </c>
      <c r="AW122" s="32">
        <f t="shared" si="15"/>
        <v>0</v>
      </c>
      <c r="AX122" s="32">
        <f t="shared" si="16"/>
        <v>0</v>
      </c>
      <c r="AY122" s="33" t="s">
        <v>689</v>
      </c>
      <c r="AZ122" s="33" t="s">
        <v>717</v>
      </c>
      <c r="BA122" s="28" t="s">
        <v>721</v>
      </c>
      <c r="BC122" s="32">
        <f t="shared" si="17"/>
        <v>0</v>
      </c>
      <c r="BD122" s="32">
        <f t="shared" si="18"/>
        <v>0</v>
      </c>
      <c r="BE122" s="32">
        <v>0</v>
      </c>
      <c r="BF122" s="32">
        <f>126</f>
        <v>126</v>
      </c>
      <c r="BH122" s="12">
        <f t="shared" si="19"/>
        <v>0</v>
      </c>
      <c r="BI122" s="12">
        <f t="shared" si="20"/>
        <v>0</v>
      </c>
      <c r="BJ122" s="12">
        <f t="shared" si="21"/>
        <v>0</v>
      </c>
    </row>
    <row r="123" spans="1:62" x14ac:dyDescent="0.25">
      <c r="A123" s="132" t="s">
        <v>77</v>
      </c>
      <c r="B123" s="132" t="s">
        <v>272</v>
      </c>
      <c r="C123" s="225" t="s">
        <v>499</v>
      </c>
      <c r="D123" s="221"/>
      <c r="E123" s="221"/>
      <c r="F123" s="132" t="s">
        <v>629</v>
      </c>
      <c r="G123" s="77">
        <v>26.86</v>
      </c>
      <c r="H123" s="17">
        <v>0</v>
      </c>
      <c r="I123" s="12">
        <f t="shared" si="0"/>
        <v>0</v>
      </c>
      <c r="J123" s="12">
        <f t="shared" si="1"/>
        <v>0</v>
      </c>
      <c r="K123" s="12">
        <f t="shared" si="2"/>
        <v>0</v>
      </c>
      <c r="L123" s="37">
        <f>IF(K264=0,0,K123/K264)</f>
        <v>0</v>
      </c>
      <c r="M123" s="27" t="s">
        <v>657</v>
      </c>
      <c r="Z123" s="32">
        <f t="shared" si="3"/>
        <v>0</v>
      </c>
      <c r="AB123" s="32">
        <f t="shared" si="4"/>
        <v>0</v>
      </c>
      <c r="AC123" s="32">
        <f t="shared" si="5"/>
        <v>0</v>
      </c>
      <c r="AD123" s="32">
        <f t="shared" si="6"/>
        <v>0</v>
      </c>
      <c r="AE123" s="32">
        <f t="shared" si="7"/>
        <v>0</v>
      </c>
      <c r="AF123" s="32">
        <f t="shared" si="8"/>
        <v>0</v>
      </c>
      <c r="AG123" s="32">
        <f t="shared" si="9"/>
        <v>0</v>
      </c>
      <c r="AH123" s="32">
        <f t="shared" si="10"/>
        <v>0</v>
      </c>
      <c r="AI123" s="28"/>
      <c r="AJ123" s="12">
        <f t="shared" si="11"/>
        <v>0</v>
      </c>
      <c r="AK123" s="12">
        <f t="shared" si="12"/>
        <v>0</v>
      </c>
      <c r="AL123" s="12">
        <f t="shared" si="13"/>
        <v>0</v>
      </c>
      <c r="AN123" s="32">
        <v>21</v>
      </c>
      <c r="AO123" s="32">
        <f>H123*0</f>
        <v>0</v>
      </c>
      <c r="AP123" s="32">
        <f>H123*(1-0)</f>
        <v>0</v>
      </c>
      <c r="AQ123" s="27" t="s">
        <v>13</v>
      </c>
      <c r="AV123" s="32">
        <f t="shared" si="14"/>
        <v>0</v>
      </c>
      <c r="AW123" s="32">
        <f t="shared" si="15"/>
        <v>0</v>
      </c>
      <c r="AX123" s="32">
        <f t="shared" si="16"/>
        <v>0</v>
      </c>
      <c r="AY123" s="33" t="s">
        <v>689</v>
      </c>
      <c r="AZ123" s="33" t="s">
        <v>717</v>
      </c>
      <c r="BA123" s="28" t="s">
        <v>721</v>
      </c>
      <c r="BC123" s="32">
        <f t="shared" si="17"/>
        <v>0</v>
      </c>
      <c r="BD123" s="32">
        <f t="shared" si="18"/>
        <v>0</v>
      </c>
      <c r="BE123" s="32">
        <v>0</v>
      </c>
      <c r="BF123" s="32">
        <f>127</f>
        <v>127</v>
      </c>
      <c r="BH123" s="12">
        <f t="shared" si="19"/>
        <v>0</v>
      </c>
      <c r="BI123" s="12">
        <f t="shared" si="20"/>
        <v>0</v>
      </c>
      <c r="BJ123" s="12">
        <f t="shared" si="21"/>
        <v>0</v>
      </c>
    </row>
    <row r="124" spans="1:62" x14ac:dyDescent="0.25">
      <c r="A124" s="134" t="s">
        <v>78</v>
      </c>
      <c r="B124" s="134" t="s">
        <v>273</v>
      </c>
      <c r="C124" s="235" t="s">
        <v>500</v>
      </c>
      <c r="D124" s="231"/>
      <c r="E124" s="231"/>
      <c r="F124" s="134" t="s">
        <v>625</v>
      </c>
      <c r="G124" s="78">
        <v>570.22500000000002</v>
      </c>
      <c r="H124" s="20">
        <v>0</v>
      </c>
      <c r="I124" s="13">
        <f t="shared" si="0"/>
        <v>0</v>
      </c>
      <c r="J124" s="13">
        <f t="shared" si="1"/>
        <v>0</v>
      </c>
      <c r="K124" s="13">
        <f t="shared" si="2"/>
        <v>0</v>
      </c>
      <c r="L124" s="39">
        <f>IF(K264=0,0,K124/K264)</f>
        <v>0</v>
      </c>
      <c r="M124" s="29" t="s">
        <v>657</v>
      </c>
      <c r="Z124" s="32">
        <f t="shared" si="3"/>
        <v>0</v>
      </c>
      <c r="AB124" s="32">
        <f t="shared" si="4"/>
        <v>0</v>
      </c>
      <c r="AC124" s="32">
        <f t="shared" si="5"/>
        <v>0</v>
      </c>
      <c r="AD124" s="32">
        <f t="shared" si="6"/>
        <v>0</v>
      </c>
      <c r="AE124" s="32">
        <f t="shared" si="7"/>
        <v>0</v>
      </c>
      <c r="AF124" s="32">
        <f t="shared" si="8"/>
        <v>0</v>
      </c>
      <c r="AG124" s="32">
        <f t="shared" si="9"/>
        <v>0</v>
      </c>
      <c r="AH124" s="32">
        <f t="shared" si="10"/>
        <v>0</v>
      </c>
      <c r="AI124" s="28"/>
      <c r="AJ124" s="13">
        <f t="shared" si="11"/>
        <v>0</v>
      </c>
      <c r="AK124" s="13">
        <f t="shared" si="12"/>
        <v>0</v>
      </c>
      <c r="AL124" s="13">
        <f t="shared" si="13"/>
        <v>0</v>
      </c>
      <c r="AN124" s="32">
        <v>21</v>
      </c>
      <c r="AO124" s="32">
        <f>H124*1</f>
        <v>0</v>
      </c>
      <c r="AP124" s="32">
        <f>H124*(1-1)</f>
        <v>0</v>
      </c>
      <c r="AQ124" s="29" t="s">
        <v>13</v>
      </c>
      <c r="AV124" s="32">
        <f t="shared" si="14"/>
        <v>0</v>
      </c>
      <c r="AW124" s="32">
        <f t="shared" si="15"/>
        <v>0</v>
      </c>
      <c r="AX124" s="32">
        <f t="shared" si="16"/>
        <v>0</v>
      </c>
      <c r="AY124" s="33" t="s">
        <v>689</v>
      </c>
      <c r="AZ124" s="33" t="s">
        <v>717</v>
      </c>
      <c r="BA124" s="28" t="s">
        <v>721</v>
      </c>
      <c r="BC124" s="32">
        <f t="shared" si="17"/>
        <v>0</v>
      </c>
      <c r="BD124" s="32">
        <f t="shared" si="18"/>
        <v>0</v>
      </c>
      <c r="BE124" s="32">
        <v>0</v>
      </c>
      <c r="BF124" s="32">
        <f>128</f>
        <v>128</v>
      </c>
      <c r="BH124" s="13">
        <f t="shared" si="19"/>
        <v>0</v>
      </c>
      <c r="BI124" s="13">
        <f t="shared" si="20"/>
        <v>0</v>
      </c>
      <c r="BJ124" s="13">
        <f t="shared" si="21"/>
        <v>0</v>
      </c>
    </row>
    <row r="125" spans="1:62" x14ac:dyDescent="0.25">
      <c r="A125" s="132" t="s">
        <v>79</v>
      </c>
      <c r="B125" s="132" t="s">
        <v>274</v>
      </c>
      <c r="C125" s="225" t="s">
        <v>501</v>
      </c>
      <c r="D125" s="221"/>
      <c r="E125" s="221"/>
      <c r="F125" s="132" t="s">
        <v>625</v>
      </c>
      <c r="G125" s="77">
        <v>369.56799999999998</v>
      </c>
      <c r="H125" s="17">
        <v>0</v>
      </c>
      <c r="I125" s="12">
        <f t="shared" si="0"/>
        <v>0</v>
      </c>
      <c r="J125" s="12">
        <f t="shared" si="1"/>
        <v>0</v>
      </c>
      <c r="K125" s="12">
        <f t="shared" si="2"/>
        <v>0</v>
      </c>
      <c r="L125" s="37">
        <f>IF(K264=0,0,K125/K264)</f>
        <v>0</v>
      </c>
      <c r="M125" s="27" t="s">
        <v>657</v>
      </c>
      <c r="Z125" s="32">
        <f t="shared" si="3"/>
        <v>0</v>
      </c>
      <c r="AB125" s="32">
        <f t="shared" si="4"/>
        <v>0</v>
      </c>
      <c r="AC125" s="32">
        <f t="shared" si="5"/>
        <v>0</v>
      </c>
      <c r="AD125" s="32">
        <f t="shared" si="6"/>
        <v>0</v>
      </c>
      <c r="AE125" s="32">
        <f t="shared" si="7"/>
        <v>0</v>
      </c>
      <c r="AF125" s="32">
        <f t="shared" si="8"/>
        <v>0</v>
      </c>
      <c r="AG125" s="32">
        <f t="shared" si="9"/>
        <v>0</v>
      </c>
      <c r="AH125" s="32">
        <f t="shared" si="10"/>
        <v>0</v>
      </c>
      <c r="AI125" s="28"/>
      <c r="AJ125" s="12">
        <f t="shared" si="11"/>
        <v>0</v>
      </c>
      <c r="AK125" s="12">
        <f t="shared" si="12"/>
        <v>0</v>
      </c>
      <c r="AL125" s="12">
        <f t="shared" si="13"/>
        <v>0</v>
      </c>
      <c r="AN125" s="32">
        <v>21</v>
      </c>
      <c r="AO125" s="32">
        <f>H125*0</f>
        <v>0</v>
      </c>
      <c r="AP125" s="32">
        <f>H125*(1-0)</f>
        <v>0</v>
      </c>
      <c r="AQ125" s="27" t="s">
        <v>13</v>
      </c>
      <c r="AV125" s="32">
        <f t="shared" si="14"/>
        <v>0</v>
      </c>
      <c r="AW125" s="32">
        <f t="shared" si="15"/>
        <v>0</v>
      </c>
      <c r="AX125" s="32">
        <f t="shared" si="16"/>
        <v>0</v>
      </c>
      <c r="AY125" s="33" t="s">
        <v>689</v>
      </c>
      <c r="AZ125" s="33" t="s">
        <v>717</v>
      </c>
      <c r="BA125" s="28" t="s">
        <v>721</v>
      </c>
      <c r="BC125" s="32">
        <f t="shared" si="17"/>
        <v>0</v>
      </c>
      <c r="BD125" s="32">
        <f t="shared" si="18"/>
        <v>0</v>
      </c>
      <c r="BE125" s="32">
        <v>0</v>
      </c>
      <c r="BF125" s="32">
        <f>129</f>
        <v>129</v>
      </c>
      <c r="BH125" s="12">
        <f t="shared" si="19"/>
        <v>0</v>
      </c>
      <c r="BI125" s="12">
        <f t="shared" si="20"/>
        <v>0</v>
      </c>
      <c r="BJ125" s="12">
        <f t="shared" si="21"/>
        <v>0</v>
      </c>
    </row>
    <row r="126" spans="1:62" x14ac:dyDescent="0.25">
      <c r="A126" s="132" t="s">
        <v>80</v>
      </c>
      <c r="B126" s="132" t="s">
        <v>275</v>
      </c>
      <c r="C126" s="225" t="s">
        <v>502</v>
      </c>
      <c r="D126" s="221"/>
      <c r="E126" s="221"/>
      <c r="F126" s="132" t="s">
        <v>629</v>
      </c>
      <c r="G126" s="77">
        <v>145.91999999999999</v>
      </c>
      <c r="H126" s="17">
        <v>0</v>
      </c>
      <c r="I126" s="12">
        <f t="shared" si="0"/>
        <v>0</v>
      </c>
      <c r="J126" s="12">
        <f t="shared" si="1"/>
        <v>0</v>
      </c>
      <c r="K126" s="12">
        <f t="shared" si="2"/>
        <v>0</v>
      </c>
      <c r="L126" s="37">
        <f>IF(K264=0,0,K126/K264)</f>
        <v>0</v>
      </c>
      <c r="M126" s="27" t="s">
        <v>657</v>
      </c>
      <c r="Z126" s="32">
        <f t="shared" si="3"/>
        <v>0</v>
      </c>
      <c r="AB126" s="32">
        <f t="shared" si="4"/>
        <v>0</v>
      </c>
      <c r="AC126" s="32">
        <f t="shared" si="5"/>
        <v>0</v>
      </c>
      <c r="AD126" s="32">
        <f t="shared" si="6"/>
        <v>0</v>
      </c>
      <c r="AE126" s="32">
        <f t="shared" si="7"/>
        <v>0</v>
      </c>
      <c r="AF126" s="32">
        <f t="shared" si="8"/>
        <v>0</v>
      </c>
      <c r="AG126" s="32">
        <f t="shared" si="9"/>
        <v>0</v>
      </c>
      <c r="AH126" s="32">
        <f t="shared" si="10"/>
        <v>0</v>
      </c>
      <c r="AI126" s="28"/>
      <c r="AJ126" s="12">
        <f t="shared" si="11"/>
        <v>0</v>
      </c>
      <c r="AK126" s="12">
        <f t="shared" si="12"/>
        <v>0</v>
      </c>
      <c r="AL126" s="12">
        <f t="shared" si="13"/>
        <v>0</v>
      </c>
      <c r="AN126" s="32">
        <v>21</v>
      </c>
      <c r="AO126" s="32">
        <f>H126*0.0449619067865494</f>
        <v>0</v>
      </c>
      <c r="AP126" s="32">
        <f>H126*(1-0.0449619067865494)</f>
        <v>0</v>
      </c>
      <c r="AQ126" s="27" t="s">
        <v>13</v>
      </c>
      <c r="AV126" s="32">
        <f t="shared" si="14"/>
        <v>0</v>
      </c>
      <c r="AW126" s="32">
        <f t="shared" si="15"/>
        <v>0</v>
      </c>
      <c r="AX126" s="32">
        <f t="shared" si="16"/>
        <v>0</v>
      </c>
      <c r="AY126" s="33" t="s">
        <v>689</v>
      </c>
      <c r="AZ126" s="33" t="s">
        <v>717</v>
      </c>
      <c r="BA126" s="28" t="s">
        <v>721</v>
      </c>
      <c r="BC126" s="32">
        <f t="shared" si="17"/>
        <v>0</v>
      </c>
      <c r="BD126" s="32">
        <f t="shared" si="18"/>
        <v>0</v>
      </c>
      <c r="BE126" s="32">
        <v>0</v>
      </c>
      <c r="BF126" s="32">
        <f>130</f>
        <v>130</v>
      </c>
      <c r="BH126" s="12">
        <f t="shared" si="19"/>
        <v>0</v>
      </c>
      <c r="BI126" s="12">
        <f t="shared" si="20"/>
        <v>0</v>
      </c>
      <c r="BJ126" s="12">
        <f t="shared" si="21"/>
        <v>0</v>
      </c>
    </row>
    <row r="127" spans="1:62" x14ac:dyDescent="0.25">
      <c r="A127" s="132" t="s">
        <v>81</v>
      </c>
      <c r="B127" s="132" t="s">
        <v>276</v>
      </c>
      <c r="C127" s="225" t="s">
        <v>1129</v>
      </c>
      <c r="D127" s="221"/>
      <c r="E127" s="221"/>
      <c r="F127" s="132" t="s">
        <v>628</v>
      </c>
      <c r="G127" s="77">
        <v>7</v>
      </c>
      <c r="H127" s="17">
        <v>0</v>
      </c>
      <c r="I127" s="12">
        <f t="shared" si="0"/>
        <v>0</v>
      </c>
      <c r="J127" s="12">
        <f t="shared" si="1"/>
        <v>0</v>
      </c>
      <c r="K127" s="12">
        <f t="shared" si="2"/>
        <v>0</v>
      </c>
      <c r="L127" s="37">
        <f>IF(K264=0,0,K127/K264)</f>
        <v>0</v>
      </c>
      <c r="M127" s="27" t="s">
        <v>657</v>
      </c>
      <c r="Z127" s="32">
        <f t="shared" si="3"/>
        <v>0</v>
      </c>
      <c r="AB127" s="32">
        <f t="shared" si="4"/>
        <v>0</v>
      </c>
      <c r="AC127" s="32">
        <f t="shared" si="5"/>
        <v>0</v>
      </c>
      <c r="AD127" s="32">
        <f t="shared" si="6"/>
        <v>0</v>
      </c>
      <c r="AE127" s="32">
        <f t="shared" si="7"/>
        <v>0</v>
      </c>
      <c r="AF127" s="32">
        <f t="shared" si="8"/>
        <v>0</v>
      </c>
      <c r="AG127" s="32">
        <f t="shared" si="9"/>
        <v>0</v>
      </c>
      <c r="AH127" s="32">
        <f t="shared" si="10"/>
        <v>0</v>
      </c>
      <c r="AI127" s="28"/>
      <c r="AJ127" s="12">
        <f t="shared" si="11"/>
        <v>0</v>
      </c>
      <c r="AK127" s="12">
        <f t="shared" si="12"/>
        <v>0</v>
      </c>
      <c r="AL127" s="12">
        <f t="shared" si="13"/>
        <v>0</v>
      </c>
      <c r="AN127" s="32">
        <v>21</v>
      </c>
      <c r="AO127" s="32">
        <f>H127*0.574315068493151</f>
        <v>0</v>
      </c>
      <c r="AP127" s="32">
        <f>H127*(1-0.574315068493151)</f>
        <v>0</v>
      </c>
      <c r="AQ127" s="27" t="s">
        <v>13</v>
      </c>
      <c r="AV127" s="32">
        <f t="shared" si="14"/>
        <v>0</v>
      </c>
      <c r="AW127" s="32">
        <f t="shared" si="15"/>
        <v>0</v>
      </c>
      <c r="AX127" s="32">
        <f t="shared" si="16"/>
        <v>0</v>
      </c>
      <c r="AY127" s="33" t="s">
        <v>689</v>
      </c>
      <c r="AZ127" s="33" t="s">
        <v>717</v>
      </c>
      <c r="BA127" s="28" t="s">
        <v>721</v>
      </c>
      <c r="BC127" s="32">
        <f t="shared" si="17"/>
        <v>0</v>
      </c>
      <c r="BD127" s="32">
        <f t="shared" si="18"/>
        <v>0</v>
      </c>
      <c r="BE127" s="32">
        <v>0</v>
      </c>
      <c r="BF127" s="32">
        <f>131</f>
        <v>131</v>
      </c>
      <c r="BH127" s="12">
        <f t="shared" si="19"/>
        <v>0</v>
      </c>
      <c r="BI127" s="12">
        <f t="shared" si="20"/>
        <v>0</v>
      </c>
      <c r="BJ127" s="12">
        <f t="shared" si="21"/>
        <v>0</v>
      </c>
    </row>
    <row r="128" spans="1:62" x14ac:dyDescent="0.25">
      <c r="A128" s="132" t="s">
        <v>82</v>
      </c>
      <c r="B128" s="132" t="s">
        <v>277</v>
      </c>
      <c r="C128" s="225" t="s">
        <v>1130</v>
      </c>
      <c r="D128" s="221"/>
      <c r="E128" s="221"/>
      <c r="F128" s="132" t="s">
        <v>629</v>
      </c>
      <c r="G128" s="77">
        <v>52.06</v>
      </c>
      <c r="H128" s="17">
        <v>0</v>
      </c>
      <c r="I128" s="12">
        <f t="shared" si="0"/>
        <v>0</v>
      </c>
      <c r="J128" s="12">
        <f t="shared" si="1"/>
        <v>0</v>
      </c>
      <c r="K128" s="12">
        <f t="shared" si="2"/>
        <v>0</v>
      </c>
      <c r="L128" s="37">
        <f>IF(K264=0,0,K128/K264)</f>
        <v>0</v>
      </c>
      <c r="M128" s="27" t="s">
        <v>657</v>
      </c>
      <c r="Z128" s="32">
        <f t="shared" si="3"/>
        <v>0</v>
      </c>
      <c r="AB128" s="32">
        <f t="shared" si="4"/>
        <v>0</v>
      </c>
      <c r="AC128" s="32">
        <f t="shared" si="5"/>
        <v>0</v>
      </c>
      <c r="AD128" s="32">
        <f t="shared" si="6"/>
        <v>0</v>
      </c>
      <c r="AE128" s="32">
        <f t="shared" si="7"/>
        <v>0</v>
      </c>
      <c r="AF128" s="32">
        <f t="shared" si="8"/>
        <v>0</v>
      </c>
      <c r="AG128" s="32">
        <f t="shared" si="9"/>
        <v>0</v>
      </c>
      <c r="AH128" s="32">
        <f t="shared" si="10"/>
        <v>0</v>
      </c>
      <c r="AI128" s="28"/>
      <c r="AJ128" s="12">
        <f t="shared" si="11"/>
        <v>0</v>
      </c>
      <c r="AK128" s="12">
        <f t="shared" si="12"/>
        <v>0</v>
      </c>
      <c r="AL128" s="12">
        <f t="shared" si="13"/>
        <v>0</v>
      </c>
      <c r="AN128" s="32">
        <v>21</v>
      </c>
      <c r="AO128" s="32">
        <f>H128*0.688393791472204</f>
        <v>0</v>
      </c>
      <c r="AP128" s="32">
        <f>H128*(1-0.688393791472204)</f>
        <v>0</v>
      </c>
      <c r="AQ128" s="27" t="s">
        <v>13</v>
      </c>
      <c r="AV128" s="32">
        <f t="shared" si="14"/>
        <v>0</v>
      </c>
      <c r="AW128" s="32">
        <f t="shared" si="15"/>
        <v>0</v>
      </c>
      <c r="AX128" s="32">
        <f t="shared" si="16"/>
        <v>0</v>
      </c>
      <c r="AY128" s="33" t="s">
        <v>689</v>
      </c>
      <c r="AZ128" s="33" t="s">
        <v>717</v>
      </c>
      <c r="BA128" s="28" t="s">
        <v>721</v>
      </c>
      <c r="BC128" s="32">
        <f t="shared" si="17"/>
        <v>0</v>
      </c>
      <c r="BD128" s="32">
        <f t="shared" si="18"/>
        <v>0</v>
      </c>
      <c r="BE128" s="32">
        <v>0</v>
      </c>
      <c r="BF128" s="32">
        <f>132</f>
        <v>132</v>
      </c>
      <c r="BH128" s="12">
        <f t="shared" si="19"/>
        <v>0</v>
      </c>
      <c r="BI128" s="12">
        <f t="shared" si="20"/>
        <v>0</v>
      </c>
      <c r="BJ128" s="12">
        <f t="shared" si="21"/>
        <v>0</v>
      </c>
    </row>
    <row r="129" spans="1:62" x14ac:dyDescent="0.25">
      <c r="A129" s="132" t="s">
        <v>83</v>
      </c>
      <c r="B129" s="132" t="s">
        <v>278</v>
      </c>
      <c r="C129" s="225" t="s">
        <v>1131</v>
      </c>
      <c r="D129" s="221"/>
      <c r="E129" s="221"/>
      <c r="F129" s="132" t="s">
        <v>629</v>
      </c>
      <c r="G129" s="77">
        <v>26.86</v>
      </c>
      <c r="H129" s="17">
        <v>0</v>
      </c>
      <c r="I129" s="12">
        <f t="shared" si="0"/>
        <v>0</v>
      </c>
      <c r="J129" s="12">
        <f t="shared" si="1"/>
        <v>0</v>
      </c>
      <c r="K129" s="12">
        <f t="shared" si="2"/>
        <v>0</v>
      </c>
      <c r="L129" s="37">
        <f>IF(K264=0,0,K129/K264)</f>
        <v>0</v>
      </c>
      <c r="M129" s="27" t="s">
        <v>657</v>
      </c>
      <c r="Z129" s="32">
        <f t="shared" si="3"/>
        <v>0</v>
      </c>
      <c r="AB129" s="32">
        <f t="shared" si="4"/>
        <v>0</v>
      </c>
      <c r="AC129" s="32">
        <f t="shared" si="5"/>
        <v>0</v>
      </c>
      <c r="AD129" s="32">
        <f t="shared" si="6"/>
        <v>0</v>
      </c>
      <c r="AE129" s="32">
        <f t="shared" si="7"/>
        <v>0</v>
      </c>
      <c r="AF129" s="32">
        <f t="shared" si="8"/>
        <v>0</v>
      </c>
      <c r="AG129" s="32">
        <f t="shared" si="9"/>
        <v>0</v>
      </c>
      <c r="AH129" s="32">
        <f t="shared" si="10"/>
        <v>0</v>
      </c>
      <c r="AI129" s="28"/>
      <c r="AJ129" s="12">
        <f t="shared" si="11"/>
        <v>0</v>
      </c>
      <c r="AK129" s="12">
        <f t="shared" si="12"/>
        <v>0</v>
      </c>
      <c r="AL129" s="12">
        <f t="shared" si="13"/>
        <v>0</v>
      </c>
      <c r="AN129" s="32">
        <v>21</v>
      </c>
      <c r="AO129" s="32">
        <f>H129*0.856210294614388</f>
        <v>0</v>
      </c>
      <c r="AP129" s="32">
        <f>H129*(1-0.856210294614388)</f>
        <v>0</v>
      </c>
      <c r="AQ129" s="27" t="s">
        <v>13</v>
      </c>
      <c r="AV129" s="32">
        <f t="shared" si="14"/>
        <v>0</v>
      </c>
      <c r="AW129" s="32">
        <f t="shared" si="15"/>
        <v>0</v>
      </c>
      <c r="AX129" s="32">
        <f t="shared" si="16"/>
        <v>0</v>
      </c>
      <c r="AY129" s="33" t="s">
        <v>689</v>
      </c>
      <c r="AZ129" s="33" t="s">
        <v>717</v>
      </c>
      <c r="BA129" s="28" t="s">
        <v>721</v>
      </c>
      <c r="BC129" s="32">
        <f t="shared" si="17"/>
        <v>0</v>
      </c>
      <c r="BD129" s="32">
        <f t="shared" si="18"/>
        <v>0</v>
      </c>
      <c r="BE129" s="32">
        <v>0</v>
      </c>
      <c r="BF129" s="32">
        <f>133</f>
        <v>133</v>
      </c>
      <c r="BH129" s="12">
        <f t="shared" si="19"/>
        <v>0</v>
      </c>
      <c r="BI129" s="12">
        <f t="shared" si="20"/>
        <v>0</v>
      </c>
      <c r="BJ129" s="12">
        <f t="shared" si="21"/>
        <v>0</v>
      </c>
    </row>
    <row r="130" spans="1:62" x14ac:dyDescent="0.25">
      <c r="A130" s="132" t="s">
        <v>84</v>
      </c>
      <c r="B130" s="132" t="s">
        <v>279</v>
      </c>
      <c r="C130" s="225" t="s">
        <v>1132</v>
      </c>
      <c r="D130" s="221"/>
      <c r="E130" s="221"/>
      <c r="F130" s="132" t="s">
        <v>629</v>
      </c>
      <c r="G130" s="77">
        <v>7.8</v>
      </c>
      <c r="H130" s="17">
        <v>0</v>
      </c>
      <c r="I130" s="12">
        <f t="shared" si="0"/>
        <v>0</v>
      </c>
      <c r="J130" s="12">
        <f t="shared" si="1"/>
        <v>0</v>
      </c>
      <c r="K130" s="12">
        <f t="shared" si="2"/>
        <v>0</v>
      </c>
      <c r="L130" s="37">
        <f>IF(K264=0,0,K130/K264)</f>
        <v>0</v>
      </c>
      <c r="M130" s="27" t="s">
        <v>657</v>
      </c>
      <c r="Z130" s="32">
        <f t="shared" si="3"/>
        <v>0</v>
      </c>
      <c r="AB130" s="32">
        <f t="shared" si="4"/>
        <v>0</v>
      </c>
      <c r="AC130" s="32">
        <f t="shared" si="5"/>
        <v>0</v>
      </c>
      <c r="AD130" s="32">
        <f t="shared" si="6"/>
        <v>0</v>
      </c>
      <c r="AE130" s="32">
        <f t="shared" si="7"/>
        <v>0</v>
      </c>
      <c r="AF130" s="32">
        <f t="shared" si="8"/>
        <v>0</v>
      </c>
      <c r="AG130" s="32">
        <f t="shared" si="9"/>
        <v>0</v>
      </c>
      <c r="AH130" s="32">
        <f t="shared" si="10"/>
        <v>0</v>
      </c>
      <c r="AI130" s="28"/>
      <c r="AJ130" s="12">
        <f t="shared" si="11"/>
        <v>0</v>
      </c>
      <c r="AK130" s="12">
        <f t="shared" si="12"/>
        <v>0</v>
      </c>
      <c r="AL130" s="12">
        <f t="shared" si="13"/>
        <v>0</v>
      </c>
      <c r="AN130" s="32">
        <v>21</v>
      </c>
      <c r="AO130" s="32">
        <f>H130*0.198043912175649</f>
        <v>0</v>
      </c>
      <c r="AP130" s="32">
        <f>H130*(1-0.198043912175649)</f>
        <v>0</v>
      </c>
      <c r="AQ130" s="27" t="s">
        <v>13</v>
      </c>
      <c r="AV130" s="32">
        <f t="shared" si="14"/>
        <v>0</v>
      </c>
      <c r="AW130" s="32">
        <f t="shared" si="15"/>
        <v>0</v>
      </c>
      <c r="AX130" s="32">
        <f t="shared" si="16"/>
        <v>0</v>
      </c>
      <c r="AY130" s="33" t="s">
        <v>689</v>
      </c>
      <c r="AZ130" s="33" t="s">
        <v>717</v>
      </c>
      <c r="BA130" s="28" t="s">
        <v>721</v>
      </c>
      <c r="BC130" s="32">
        <f t="shared" si="17"/>
        <v>0</v>
      </c>
      <c r="BD130" s="32">
        <f t="shared" si="18"/>
        <v>0</v>
      </c>
      <c r="BE130" s="32">
        <v>0</v>
      </c>
      <c r="BF130" s="32">
        <f>134</f>
        <v>134</v>
      </c>
      <c r="BH130" s="12">
        <f t="shared" si="19"/>
        <v>0</v>
      </c>
      <c r="BI130" s="12">
        <f t="shared" si="20"/>
        <v>0</v>
      </c>
      <c r="BJ130" s="12">
        <f t="shared" si="21"/>
        <v>0</v>
      </c>
    </row>
    <row r="131" spans="1:62" x14ac:dyDescent="0.25">
      <c r="A131" s="132" t="s">
        <v>85</v>
      </c>
      <c r="B131" s="132" t="s">
        <v>280</v>
      </c>
      <c r="C131" s="225" t="s">
        <v>503</v>
      </c>
      <c r="D131" s="221"/>
      <c r="E131" s="221"/>
      <c r="F131" s="132" t="s">
        <v>627</v>
      </c>
      <c r="G131" s="77">
        <v>6.3</v>
      </c>
      <c r="H131" s="17">
        <v>0</v>
      </c>
      <c r="I131" s="12">
        <f t="shared" si="0"/>
        <v>0</v>
      </c>
      <c r="J131" s="12">
        <f t="shared" si="1"/>
        <v>0</v>
      </c>
      <c r="K131" s="12">
        <f t="shared" si="2"/>
        <v>0</v>
      </c>
      <c r="L131" s="37">
        <f>IF(K264=0,0,K131/K264)</f>
        <v>0</v>
      </c>
      <c r="M131" s="27" t="s">
        <v>657</v>
      </c>
      <c r="Z131" s="32">
        <f t="shared" si="3"/>
        <v>0</v>
      </c>
      <c r="AB131" s="32">
        <f t="shared" si="4"/>
        <v>0</v>
      </c>
      <c r="AC131" s="32">
        <f t="shared" si="5"/>
        <v>0</v>
      </c>
      <c r="AD131" s="32">
        <f t="shared" si="6"/>
        <v>0</v>
      </c>
      <c r="AE131" s="32">
        <f t="shared" si="7"/>
        <v>0</v>
      </c>
      <c r="AF131" s="32">
        <f t="shared" si="8"/>
        <v>0</v>
      </c>
      <c r="AG131" s="32">
        <f t="shared" si="9"/>
        <v>0</v>
      </c>
      <c r="AH131" s="32">
        <f t="shared" si="10"/>
        <v>0</v>
      </c>
      <c r="AI131" s="28"/>
      <c r="AJ131" s="12">
        <f t="shared" si="11"/>
        <v>0</v>
      </c>
      <c r="AK131" s="12">
        <f t="shared" si="12"/>
        <v>0</v>
      </c>
      <c r="AL131" s="12">
        <f t="shared" si="13"/>
        <v>0</v>
      </c>
      <c r="AN131" s="32">
        <v>21</v>
      </c>
      <c r="AO131" s="32">
        <f>H131*0</f>
        <v>0</v>
      </c>
      <c r="AP131" s="32">
        <f>H131*(1-0)</f>
        <v>0</v>
      </c>
      <c r="AQ131" s="27" t="s">
        <v>11</v>
      </c>
      <c r="AV131" s="32">
        <f t="shared" si="14"/>
        <v>0</v>
      </c>
      <c r="AW131" s="32">
        <f t="shared" si="15"/>
        <v>0</v>
      </c>
      <c r="AX131" s="32">
        <f t="shared" si="16"/>
        <v>0</v>
      </c>
      <c r="AY131" s="33" t="s">
        <v>689</v>
      </c>
      <c r="AZ131" s="33" t="s">
        <v>717</v>
      </c>
      <c r="BA131" s="28" t="s">
        <v>721</v>
      </c>
      <c r="BC131" s="32">
        <f t="shared" si="17"/>
        <v>0</v>
      </c>
      <c r="BD131" s="32">
        <f t="shared" si="18"/>
        <v>0</v>
      </c>
      <c r="BE131" s="32">
        <v>0</v>
      </c>
      <c r="BF131" s="32">
        <f>135</f>
        <v>135</v>
      </c>
      <c r="BH131" s="12">
        <f t="shared" si="19"/>
        <v>0</v>
      </c>
      <c r="BI131" s="12">
        <f t="shared" si="20"/>
        <v>0</v>
      </c>
      <c r="BJ131" s="12">
        <f t="shared" si="21"/>
        <v>0</v>
      </c>
    </row>
    <row r="132" spans="1:62" x14ac:dyDescent="0.25">
      <c r="A132" s="5"/>
      <c r="B132" s="133" t="s">
        <v>281</v>
      </c>
      <c r="C132" s="226" t="s">
        <v>504</v>
      </c>
      <c r="D132" s="227"/>
      <c r="E132" s="227"/>
      <c r="F132" s="5" t="s">
        <v>6</v>
      </c>
      <c r="G132" s="5" t="s">
        <v>6</v>
      </c>
      <c r="H132" s="18" t="s">
        <v>6</v>
      </c>
      <c r="I132" s="35">
        <f>SUM(I133:I135)</f>
        <v>0</v>
      </c>
      <c r="J132" s="35">
        <f>SUM(J133:J135)</f>
        <v>0</v>
      </c>
      <c r="K132" s="35">
        <f>SUM(K133:K135)</f>
        <v>0</v>
      </c>
      <c r="L132" s="38">
        <f>IF(K264=0,0,K132/K264)</f>
        <v>0</v>
      </c>
      <c r="M132" s="28"/>
      <c r="AI132" s="28"/>
      <c r="AS132" s="35">
        <f>SUM(AJ133:AJ135)</f>
        <v>0</v>
      </c>
      <c r="AT132" s="35">
        <f>SUM(AK133:AK135)</f>
        <v>0</v>
      </c>
      <c r="AU132" s="35">
        <f>SUM(AL133:AL135)</f>
        <v>0</v>
      </c>
    </row>
    <row r="133" spans="1:62" x14ac:dyDescent="0.25">
      <c r="A133" s="132" t="s">
        <v>86</v>
      </c>
      <c r="B133" s="132" t="s">
        <v>282</v>
      </c>
      <c r="C133" s="225" t="s">
        <v>1133</v>
      </c>
      <c r="D133" s="221"/>
      <c r="E133" s="221"/>
      <c r="F133" s="132" t="s">
        <v>625</v>
      </c>
      <c r="G133" s="77">
        <v>369.56799999999998</v>
      </c>
      <c r="H133" s="17">
        <v>0</v>
      </c>
      <c r="I133" s="12">
        <f>G133*AO133</f>
        <v>0</v>
      </c>
      <c r="J133" s="12">
        <f>G133*AP133</f>
        <v>0</v>
      </c>
      <c r="K133" s="12">
        <f>G133*H133</f>
        <v>0</v>
      </c>
      <c r="L133" s="37">
        <f>IF(K264=0,0,K133/K264)</f>
        <v>0</v>
      </c>
      <c r="M133" s="27" t="s">
        <v>657</v>
      </c>
      <c r="Z133" s="32">
        <f>IF(AQ133="5",BJ133,0)</f>
        <v>0</v>
      </c>
      <c r="AB133" s="32">
        <f>IF(AQ133="1",BH133,0)</f>
        <v>0</v>
      </c>
      <c r="AC133" s="32">
        <f>IF(AQ133="1",BI133,0)</f>
        <v>0</v>
      </c>
      <c r="AD133" s="32">
        <f>IF(AQ133="7",BH133,0)</f>
        <v>0</v>
      </c>
      <c r="AE133" s="32">
        <f>IF(AQ133="7",BI133,0)</f>
        <v>0</v>
      </c>
      <c r="AF133" s="32">
        <f>IF(AQ133="2",BH133,0)</f>
        <v>0</v>
      </c>
      <c r="AG133" s="32">
        <f>IF(AQ133="2",BI133,0)</f>
        <v>0</v>
      </c>
      <c r="AH133" s="32">
        <f>IF(AQ133="0",BJ133,0)</f>
        <v>0</v>
      </c>
      <c r="AI133" s="28"/>
      <c r="AJ133" s="12">
        <f>IF(AN133=0,K133,0)</f>
        <v>0</v>
      </c>
      <c r="AK133" s="12">
        <f>IF(AN133=15,K133,0)</f>
        <v>0</v>
      </c>
      <c r="AL133" s="12">
        <f>IF(AN133=21,K133,0)</f>
        <v>0</v>
      </c>
      <c r="AN133" s="32">
        <v>21</v>
      </c>
      <c r="AO133" s="32">
        <f>H133*0.678603756425728</f>
        <v>0</v>
      </c>
      <c r="AP133" s="32">
        <f>H133*(1-0.678603756425728)</f>
        <v>0</v>
      </c>
      <c r="AQ133" s="27" t="s">
        <v>13</v>
      </c>
      <c r="AV133" s="32">
        <f>AW133+AX133</f>
        <v>0</v>
      </c>
      <c r="AW133" s="32">
        <f>G133*AO133</f>
        <v>0</v>
      </c>
      <c r="AX133" s="32">
        <f>G133*AP133</f>
        <v>0</v>
      </c>
      <c r="AY133" s="33" t="s">
        <v>690</v>
      </c>
      <c r="AZ133" s="33" t="s">
        <v>717</v>
      </c>
      <c r="BA133" s="28" t="s">
        <v>721</v>
      </c>
      <c r="BC133" s="32">
        <f>AW133+AX133</f>
        <v>0</v>
      </c>
      <c r="BD133" s="32">
        <f>H133/(100-BE133)*100</f>
        <v>0</v>
      </c>
      <c r="BE133" s="32">
        <v>0</v>
      </c>
      <c r="BF133" s="32">
        <f>137</f>
        <v>137</v>
      </c>
      <c r="BH133" s="12">
        <f>G133*AO133</f>
        <v>0</v>
      </c>
      <c r="BI133" s="12">
        <f>G133*AP133</f>
        <v>0</v>
      </c>
      <c r="BJ133" s="12">
        <f>G133*H133</f>
        <v>0</v>
      </c>
    </row>
    <row r="134" spans="1:62" x14ac:dyDescent="0.25">
      <c r="A134" s="132" t="s">
        <v>87</v>
      </c>
      <c r="B134" s="132" t="s">
        <v>283</v>
      </c>
      <c r="C134" s="225" t="s">
        <v>505</v>
      </c>
      <c r="D134" s="221"/>
      <c r="E134" s="221"/>
      <c r="F134" s="132" t="s">
        <v>625</v>
      </c>
      <c r="G134" s="77">
        <v>29.795000000000002</v>
      </c>
      <c r="H134" s="17">
        <v>0</v>
      </c>
      <c r="I134" s="12">
        <f>G134*AO134</f>
        <v>0</v>
      </c>
      <c r="J134" s="12">
        <f>G134*AP134</f>
        <v>0</v>
      </c>
      <c r="K134" s="12">
        <f>G134*H134</f>
        <v>0</v>
      </c>
      <c r="L134" s="37">
        <f>IF(K264=0,0,K134/K264)</f>
        <v>0</v>
      </c>
      <c r="M134" s="27" t="s">
        <v>657</v>
      </c>
      <c r="Z134" s="32">
        <f>IF(AQ134="5",BJ134,0)</f>
        <v>0</v>
      </c>
      <c r="AB134" s="32">
        <f>IF(AQ134="1",BH134,0)</f>
        <v>0</v>
      </c>
      <c r="AC134" s="32">
        <f>IF(AQ134="1",BI134,0)</f>
        <v>0</v>
      </c>
      <c r="AD134" s="32">
        <f>IF(AQ134="7",BH134,0)</f>
        <v>0</v>
      </c>
      <c r="AE134" s="32">
        <f>IF(AQ134="7",BI134,0)</f>
        <v>0</v>
      </c>
      <c r="AF134" s="32">
        <f>IF(AQ134="2",BH134,0)</f>
        <v>0</v>
      </c>
      <c r="AG134" s="32">
        <f>IF(AQ134="2",BI134,0)</f>
        <v>0</v>
      </c>
      <c r="AH134" s="32">
        <f>IF(AQ134="0",BJ134,0)</f>
        <v>0</v>
      </c>
      <c r="AI134" s="28"/>
      <c r="AJ134" s="12">
        <f>IF(AN134=0,K134,0)</f>
        <v>0</v>
      </c>
      <c r="AK134" s="12">
        <f>IF(AN134=15,K134,0)</f>
        <v>0</v>
      </c>
      <c r="AL134" s="12">
        <f>IF(AN134=21,K134,0)</f>
        <v>0</v>
      </c>
      <c r="AN134" s="32">
        <v>21</v>
      </c>
      <c r="AO134" s="32">
        <f>H134*0</f>
        <v>0</v>
      </c>
      <c r="AP134" s="32">
        <f>H134*(1-0)</f>
        <v>0</v>
      </c>
      <c r="AQ134" s="27" t="s">
        <v>13</v>
      </c>
      <c r="AV134" s="32">
        <f>AW134+AX134</f>
        <v>0</v>
      </c>
      <c r="AW134" s="32">
        <f>G134*AO134</f>
        <v>0</v>
      </c>
      <c r="AX134" s="32">
        <f>G134*AP134</f>
        <v>0</v>
      </c>
      <c r="AY134" s="33" t="s">
        <v>690</v>
      </c>
      <c r="AZ134" s="33" t="s">
        <v>717</v>
      </c>
      <c r="BA134" s="28" t="s">
        <v>721</v>
      </c>
      <c r="BC134" s="32">
        <f>AW134+AX134</f>
        <v>0</v>
      </c>
      <c r="BD134" s="32">
        <f>H134/(100-BE134)*100</f>
        <v>0</v>
      </c>
      <c r="BE134" s="32">
        <v>0</v>
      </c>
      <c r="BF134" s="32">
        <f>138</f>
        <v>138</v>
      </c>
      <c r="BH134" s="12">
        <f>G134*AO134</f>
        <v>0</v>
      </c>
      <c r="BI134" s="12">
        <f>G134*AP134</f>
        <v>0</v>
      </c>
      <c r="BJ134" s="12">
        <f>G134*H134</f>
        <v>0</v>
      </c>
    </row>
    <row r="135" spans="1:62" x14ac:dyDescent="0.25">
      <c r="A135" s="132" t="s">
        <v>88</v>
      </c>
      <c r="B135" s="132" t="s">
        <v>284</v>
      </c>
      <c r="C135" s="225" t="s">
        <v>506</v>
      </c>
      <c r="D135" s="221"/>
      <c r="E135" s="221"/>
      <c r="F135" s="132" t="s">
        <v>627</v>
      </c>
      <c r="G135" s="77">
        <v>0.64300000000000002</v>
      </c>
      <c r="H135" s="17">
        <v>0</v>
      </c>
      <c r="I135" s="12">
        <f>G135*AO135</f>
        <v>0</v>
      </c>
      <c r="J135" s="12">
        <f>G135*AP135</f>
        <v>0</v>
      </c>
      <c r="K135" s="12">
        <f>G135*H135</f>
        <v>0</v>
      </c>
      <c r="L135" s="37">
        <f>IF(K264=0,0,K135/K264)</f>
        <v>0</v>
      </c>
      <c r="M135" s="27" t="s">
        <v>657</v>
      </c>
      <c r="Z135" s="32">
        <f>IF(AQ135="5",BJ135,0)</f>
        <v>0</v>
      </c>
      <c r="AB135" s="32">
        <f>IF(AQ135="1",BH135,0)</f>
        <v>0</v>
      </c>
      <c r="AC135" s="32">
        <f>IF(AQ135="1",BI135,0)</f>
        <v>0</v>
      </c>
      <c r="AD135" s="32">
        <f>IF(AQ135="7",BH135,0)</f>
        <v>0</v>
      </c>
      <c r="AE135" s="32">
        <f>IF(AQ135="7",BI135,0)</f>
        <v>0</v>
      </c>
      <c r="AF135" s="32">
        <f>IF(AQ135="2",BH135,0)</f>
        <v>0</v>
      </c>
      <c r="AG135" s="32">
        <f>IF(AQ135="2",BI135,0)</f>
        <v>0</v>
      </c>
      <c r="AH135" s="32">
        <f>IF(AQ135="0",BJ135,0)</f>
        <v>0</v>
      </c>
      <c r="AI135" s="28"/>
      <c r="AJ135" s="12">
        <f>IF(AN135=0,K135,0)</f>
        <v>0</v>
      </c>
      <c r="AK135" s="12">
        <f>IF(AN135=15,K135,0)</f>
        <v>0</v>
      </c>
      <c r="AL135" s="12">
        <f>IF(AN135=21,K135,0)</f>
        <v>0</v>
      </c>
      <c r="AN135" s="32">
        <v>21</v>
      </c>
      <c r="AO135" s="32">
        <f>H135*0</f>
        <v>0</v>
      </c>
      <c r="AP135" s="32">
        <f>H135*(1-0)</f>
        <v>0</v>
      </c>
      <c r="AQ135" s="27" t="s">
        <v>11</v>
      </c>
      <c r="AV135" s="32">
        <f>AW135+AX135</f>
        <v>0</v>
      </c>
      <c r="AW135" s="32">
        <f>G135*AO135</f>
        <v>0</v>
      </c>
      <c r="AX135" s="32">
        <f>G135*AP135</f>
        <v>0</v>
      </c>
      <c r="AY135" s="33" t="s">
        <v>690</v>
      </c>
      <c r="AZ135" s="33" t="s">
        <v>717</v>
      </c>
      <c r="BA135" s="28" t="s">
        <v>721</v>
      </c>
      <c r="BC135" s="32">
        <f>AW135+AX135</f>
        <v>0</v>
      </c>
      <c r="BD135" s="32">
        <f>H135/(100-BE135)*100</f>
        <v>0</v>
      </c>
      <c r="BE135" s="32">
        <v>0</v>
      </c>
      <c r="BF135" s="32">
        <f>139</f>
        <v>139</v>
      </c>
      <c r="BH135" s="12">
        <f>G135*AO135</f>
        <v>0</v>
      </c>
      <c r="BI135" s="12">
        <f>G135*AP135</f>
        <v>0</v>
      </c>
      <c r="BJ135" s="12">
        <f>G135*H135</f>
        <v>0</v>
      </c>
    </row>
    <row r="136" spans="1:62" x14ac:dyDescent="0.25">
      <c r="A136" s="5"/>
      <c r="B136" s="133" t="s">
        <v>285</v>
      </c>
      <c r="C136" s="226" t="s">
        <v>507</v>
      </c>
      <c r="D136" s="227"/>
      <c r="E136" s="227"/>
      <c r="F136" s="5" t="s">
        <v>6</v>
      </c>
      <c r="G136" s="5" t="s">
        <v>6</v>
      </c>
      <c r="H136" s="18" t="s">
        <v>6</v>
      </c>
      <c r="I136" s="35">
        <f>SUM(I137:I147)</f>
        <v>0</v>
      </c>
      <c r="J136" s="35">
        <f>SUM(J137:J147)</f>
        <v>0</v>
      </c>
      <c r="K136" s="35">
        <f>SUM(K137:K147)</f>
        <v>0</v>
      </c>
      <c r="L136" s="38">
        <f>IF(K264=0,0,K136/K264)</f>
        <v>0</v>
      </c>
      <c r="M136" s="28"/>
      <c r="AI136" s="28"/>
      <c r="AS136" s="35">
        <f>SUM(AJ137:AJ147)</f>
        <v>0</v>
      </c>
      <c r="AT136" s="35">
        <f>SUM(AK137:AK147)</f>
        <v>0</v>
      </c>
      <c r="AU136" s="35">
        <f>SUM(AL137:AL147)</f>
        <v>0</v>
      </c>
    </row>
    <row r="137" spans="1:62" x14ac:dyDescent="0.25">
      <c r="A137" s="134" t="s">
        <v>89</v>
      </c>
      <c r="B137" s="134" t="s">
        <v>286</v>
      </c>
      <c r="C137" s="235" t="s">
        <v>1134</v>
      </c>
      <c r="D137" s="231"/>
      <c r="E137" s="231"/>
      <c r="F137" s="134" t="s">
        <v>628</v>
      </c>
      <c r="G137" s="78">
        <v>2</v>
      </c>
      <c r="H137" s="20">
        <v>0</v>
      </c>
      <c r="I137" s="13">
        <f t="shared" ref="I137:I147" si="22">G137*AO137</f>
        <v>0</v>
      </c>
      <c r="J137" s="13">
        <f t="shared" ref="J137:J147" si="23">G137*AP137</f>
        <v>0</v>
      </c>
      <c r="K137" s="13">
        <f t="shared" ref="K137:K147" si="24">G137*H137</f>
        <v>0</v>
      </c>
      <c r="L137" s="39">
        <f>IF(K264=0,0,K137/K264)</f>
        <v>0</v>
      </c>
      <c r="M137" s="29" t="s">
        <v>657</v>
      </c>
      <c r="Z137" s="32">
        <f t="shared" ref="Z137:Z147" si="25">IF(AQ137="5",BJ137,0)</f>
        <v>0</v>
      </c>
      <c r="AB137" s="32">
        <f t="shared" ref="AB137:AB147" si="26">IF(AQ137="1",BH137,0)</f>
        <v>0</v>
      </c>
      <c r="AC137" s="32">
        <f t="shared" ref="AC137:AC147" si="27">IF(AQ137="1",BI137,0)</f>
        <v>0</v>
      </c>
      <c r="AD137" s="32">
        <f t="shared" ref="AD137:AD147" si="28">IF(AQ137="7",BH137,0)</f>
        <v>0</v>
      </c>
      <c r="AE137" s="32">
        <f t="shared" ref="AE137:AE147" si="29">IF(AQ137="7",BI137,0)</f>
        <v>0</v>
      </c>
      <c r="AF137" s="32">
        <f t="shared" ref="AF137:AF147" si="30">IF(AQ137="2",BH137,0)</f>
        <v>0</v>
      </c>
      <c r="AG137" s="32">
        <f t="shared" ref="AG137:AG147" si="31">IF(AQ137="2",BI137,0)</f>
        <v>0</v>
      </c>
      <c r="AH137" s="32">
        <f t="shared" ref="AH137:AH147" si="32">IF(AQ137="0",BJ137,0)</f>
        <v>0</v>
      </c>
      <c r="AI137" s="28"/>
      <c r="AJ137" s="13">
        <f t="shared" ref="AJ137:AJ147" si="33">IF(AN137=0,K137,0)</f>
        <v>0</v>
      </c>
      <c r="AK137" s="13">
        <f t="shared" ref="AK137:AK147" si="34">IF(AN137=15,K137,0)</f>
        <v>0</v>
      </c>
      <c r="AL137" s="13">
        <f t="shared" ref="AL137:AL147" si="35">IF(AN137=21,K137,0)</f>
        <v>0</v>
      </c>
      <c r="AN137" s="32">
        <v>21</v>
      </c>
      <c r="AO137" s="32">
        <f>H137*1</f>
        <v>0</v>
      </c>
      <c r="AP137" s="32">
        <f>H137*(1-1)</f>
        <v>0</v>
      </c>
      <c r="AQ137" s="29" t="s">
        <v>13</v>
      </c>
      <c r="AV137" s="32">
        <f t="shared" ref="AV137:AV147" si="36">AW137+AX137</f>
        <v>0</v>
      </c>
      <c r="AW137" s="32">
        <f t="shared" ref="AW137:AW147" si="37">G137*AO137</f>
        <v>0</v>
      </c>
      <c r="AX137" s="32">
        <f t="shared" ref="AX137:AX147" si="38">G137*AP137</f>
        <v>0</v>
      </c>
      <c r="AY137" s="33" t="s">
        <v>691</v>
      </c>
      <c r="AZ137" s="33" t="s">
        <v>717</v>
      </c>
      <c r="BA137" s="28" t="s">
        <v>721</v>
      </c>
      <c r="BC137" s="32">
        <f t="shared" ref="BC137:BC147" si="39">AW137+AX137</f>
        <v>0</v>
      </c>
      <c r="BD137" s="32">
        <f t="shared" ref="BD137:BD147" si="40">H137/(100-BE137)*100</f>
        <v>0</v>
      </c>
      <c r="BE137" s="32">
        <v>0</v>
      </c>
      <c r="BF137" s="32">
        <f>141</f>
        <v>141</v>
      </c>
      <c r="BH137" s="13">
        <f t="shared" ref="BH137:BH147" si="41">G137*AO137</f>
        <v>0</v>
      </c>
      <c r="BI137" s="13">
        <f t="shared" ref="BI137:BI147" si="42">G137*AP137</f>
        <v>0</v>
      </c>
      <c r="BJ137" s="13">
        <f t="shared" ref="BJ137:BJ147" si="43">G137*H137</f>
        <v>0</v>
      </c>
    </row>
    <row r="138" spans="1:62" x14ac:dyDescent="0.25">
      <c r="A138" s="134" t="s">
        <v>90</v>
      </c>
      <c r="B138" s="134" t="s">
        <v>287</v>
      </c>
      <c r="C138" s="235" t="s">
        <v>1135</v>
      </c>
      <c r="D138" s="231"/>
      <c r="E138" s="231"/>
      <c r="F138" s="134" t="s">
        <v>628</v>
      </c>
      <c r="G138" s="78">
        <v>1</v>
      </c>
      <c r="H138" s="20">
        <v>0</v>
      </c>
      <c r="I138" s="13">
        <f t="shared" si="22"/>
        <v>0</v>
      </c>
      <c r="J138" s="13">
        <f t="shared" si="23"/>
        <v>0</v>
      </c>
      <c r="K138" s="13">
        <f t="shared" si="24"/>
        <v>0</v>
      </c>
      <c r="L138" s="39">
        <f>IF(K264=0,0,K138/K264)</f>
        <v>0</v>
      </c>
      <c r="M138" s="29" t="s">
        <v>657</v>
      </c>
      <c r="Z138" s="32">
        <f t="shared" si="25"/>
        <v>0</v>
      </c>
      <c r="AB138" s="32">
        <f t="shared" si="26"/>
        <v>0</v>
      </c>
      <c r="AC138" s="32">
        <f t="shared" si="27"/>
        <v>0</v>
      </c>
      <c r="AD138" s="32">
        <f t="shared" si="28"/>
        <v>0</v>
      </c>
      <c r="AE138" s="32">
        <f t="shared" si="29"/>
        <v>0</v>
      </c>
      <c r="AF138" s="32">
        <f t="shared" si="30"/>
        <v>0</v>
      </c>
      <c r="AG138" s="32">
        <f t="shared" si="31"/>
        <v>0</v>
      </c>
      <c r="AH138" s="32">
        <f t="shared" si="32"/>
        <v>0</v>
      </c>
      <c r="AI138" s="28"/>
      <c r="AJ138" s="13">
        <f t="shared" si="33"/>
        <v>0</v>
      </c>
      <c r="AK138" s="13">
        <f t="shared" si="34"/>
        <v>0</v>
      </c>
      <c r="AL138" s="13">
        <f t="shared" si="35"/>
        <v>0</v>
      </c>
      <c r="AN138" s="32">
        <v>21</v>
      </c>
      <c r="AO138" s="32">
        <f>H138*1</f>
        <v>0</v>
      </c>
      <c r="AP138" s="32">
        <f>H138*(1-1)</f>
        <v>0</v>
      </c>
      <c r="AQ138" s="29" t="s">
        <v>13</v>
      </c>
      <c r="AV138" s="32">
        <f t="shared" si="36"/>
        <v>0</v>
      </c>
      <c r="AW138" s="32">
        <f t="shared" si="37"/>
        <v>0</v>
      </c>
      <c r="AX138" s="32">
        <f t="shared" si="38"/>
        <v>0</v>
      </c>
      <c r="AY138" s="33" t="s">
        <v>691</v>
      </c>
      <c r="AZ138" s="33" t="s">
        <v>717</v>
      </c>
      <c r="BA138" s="28" t="s">
        <v>721</v>
      </c>
      <c r="BC138" s="32">
        <f t="shared" si="39"/>
        <v>0</v>
      </c>
      <c r="BD138" s="32">
        <f t="shared" si="40"/>
        <v>0</v>
      </c>
      <c r="BE138" s="32">
        <v>0</v>
      </c>
      <c r="BF138" s="32">
        <f>142</f>
        <v>142</v>
      </c>
      <c r="BH138" s="13">
        <f t="shared" si="41"/>
        <v>0</v>
      </c>
      <c r="BI138" s="13">
        <f t="shared" si="42"/>
        <v>0</v>
      </c>
      <c r="BJ138" s="13">
        <f t="shared" si="43"/>
        <v>0</v>
      </c>
    </row>
    <row r="139" spans="1:62" x14ac:dyDescent="0.25">
      <c r="A139" s="132" t="s">
        <v>91</v>
      </c>
      <c r="B139" s="132" t="s">
        <v>288</v>
      </c>
      <c r="C139" s="225" t="s">
        <v>508</v>
      </c>
      <c r="D139" s="221"/>
      <c r="E139" s="221"/>
      <c r="F139" s="132" t="s">
        <v>628</v>
      </c>
      <c r="G139" s="77">
        <v>3</v>
      </c>
      <c r="H139" s="17">
        <v>0</v>
      </c>
      <c r="I139" s="12">
        <f t="shared" si="22"/>
        <v>0</v>
      </c>
      <c r="J139" s="12">
        <f t="shared" si="23"/>
        <v>0</v>
      </c>
      <c r="K139" s="12">
        <f t="shared" si="24"/>
        <v>0</v>
      </c>
      <c r="L139" s="37">
        <f>IF(K264=0,0,K139/K264)</f>
        <v>0</v>
      </c>
      <c r="M139" s="27" t="s">
        <v>657</v>
      </c>
      <c r="Z139" s="32">
        <f t="shared" si="25"/>
        <v>0</v>
      </c>
      <c r="AB139" s="32">
        <f t="shared" si="26"/>
        <v>0</v>
      </c>
      <c r="AC139" s="32">
        <f t="shared" si="27"/>
        <v>0</v>
      </c>
      <c r="AD139" s="32">
        <f t="shared" si="28"/>
        <v>0</v>
      </c>
      <c r="AE139" s="32">
        <f t="shared" si="29"/>
        <v>0</v>
      </c>
      <c r="AF139" s="32">
        <f t="shared" si="30"/>
        <v>0</v>
      </c>
      <c r="AG139" s="32">
        <f t="shared" si="31"/>
        <v>0</v>
      </c>
      <c r="AH139" s="32">
        <f t="shared" si="32"/>
        <v>0</v>
      </c>
      <c r="AI139" s="28"/>
      <c r="AJ139" s="12">
        <f t="shared" si="33"/>
        <v>0</v>
      </c>
      <c r="AK139" s="12">
        <f t="shared" si="34"/>
        <v>0</v>
      </c>
      <c r="AL139" s="12">
        <f t="shared" si="35"/>
        <v>0</v>
      </c>
      <c r="AN139" s="32">
        <v>21</v>
      </c>
      <c r="AO139" s="32">
        <f>H139*0.071163967611336</f>
        <v>0</v>
      </c>
      <c r="AP139" s="32">
        <f>H139*(1-0.071163967611336)</f>
        <v>0</v>
      </c>
      <c r="AQ139" s="27" t="s">
        <v>13</v>
      </c>
      <c r="AV139" s="32">
        <f t="shared" si="36"/>
        <v>0</v>
      </c>
      <c r="AW139" s="32">
        <f t="shared" si="37"/>
        <v>0</v>
      </c>
      <c r="AX139" s="32">
        <f t="shared" si="38"/>
        <v>0</v>
      </c>
      <c r="AY139" s="33" t="s">
        <v>691</v>
      </c>
      <c r="AZ139" s="33" t="s">
        <v>717</v>
      </c>
      <c r="BA139" s="28" t="s">
        <v>721</v>
      </c>
      <c r="BC139" s="32">
        <f t="shared" si="39"/>
        <v>0</v>
      </c>
      <c r="BD139" s="32">
        <f t="shared" si="40"/>
        <v>0</v>
      </c>
      <c r="BE139" s="32">
        <v>0</v>
      </c>
      <c r="BF139" s="32">
        <f>143</f>
        <v>143</v>
      </c>
      <c r="BH139" s="12">
        <f t="shared" si="41"/>
        <v>0</v>
      </c>
      <c r="BI139" s="12">
        <f t="shared" si="42"/>
        <v>0</v>
      </c>
      <c r="BJ139" s="12">
        <f t="shared" si="43"/>
        <v>0</v>
      </c>
    </row>
    <row r="140" spans="1:62" x14ac:dyDescent="0.25">
      <c r="A140" s="134" t="s">
        <v>92</v>
      </c>
      <c r="B140" s="134" t="s">
        <v>289</v>
      </c>
      <c r="C140" s="235" t="s">
        <v>1136</v>
      </c>
      <c r="D140" s="231"/>
      <c r="E140" s="231"/>
      <c r="F140" s="134" t="s">
        <v>628</v>
      </c>
      <c r="G140" s="78">
        <v>3</v>
      </c>
      <c r="H140" s="20">
        <v>0</v>
      </c>
      <c r="I140" s="13">
        <f t="shared" si="22"/>
        <v>0</v>
      </c>
      <c r="J140" s="13">
        <f t="shared" si="23"/>
        <v>0</v>
      </c>
      <c r="K140" s="13">
        <f t="shared" si="24"/>
        <v>0</v>
      </c>
      <c r="L140" s="39">
        <f>IF(K264=0,0,K140/K264)</f>
        <v>0</v>
      </c>
      <c r="M140" s="29" t="s">
        <v>657</v>
      </c>
      <c r="Z140" s="32">
        <f t="shared" si="25"/>
        <v>0</v>
      </c>
      <c r="AB140" s="32">
        <f t="shared" si="26"/>
        <v>0</v>
      </c>
      <c r="AC140" s="32">
        <f t="shared" si="27"/>
        <v>0</v>
      </c>
      <c r="AD140" s="32">
        <f t="shared" si="28"/>
        <v>0</v>
      </c>
      <c r="AE140" s="32">
        <f t="shared" si="29"/>
        <v>0</v>
      </c>
      <c r="AF140" s="32">
        <f t="shared" si="30"/>
        <v>0</v>
      </c>
      <c r="AG140" s="32">
        <f t="shared" si="31"/>
        <v>0</v>
      </c>
      <c r="AH140" s="32">
        <f t="shared" si="32"/>
        <v>0</v>
      </c>
      <c r="AI140" s="28"/>
      <c r="AJ140" s="13">
        <f t="shared" si="33"/>
        <v>0</v>
      </c>
      <c r="AK140" s="13">
        <f t="shared" si="34"/>
        <v>0</v>
      </c>
      <c r="AL140" s="13">
        <f t="shared" si="35"/>
        <v>0</v>
      </c>
      <c r="AN140" s="32">
        <v>21</v>
      </c>
      <c r="AO140" s="32">
        <f>H140*1</f>
        <v>0</v>
      </c>
      <c r="AP140" s="32">
        <f>H140*(1-1)</f>
        <v>0</v>
      </c>
      <c r="AQ140" s="29" t="s">
        <v>13</v>
      </c>
      <c r="AV140" s="32">
        <f t="shared" si="36"/>
        <v>0</v>
      </c>
      <c r="AW140" s="32">
        <f t="shared" si="37"/>
        <v>0</v>
      </c>
      <c r="AX140" s="32">
        <f t="shared" si="38"/>
        <v>0</v>
      </c>
      <c r="AY140" s="33" t="s">
        <v>691</v>
      </c>
      <c r="AZ140" s="33" t="s">
        <v>717</v>
      </c>
      <c r="BA140" s="28" t="s">
        <v>721</v>
      </c>
      <c r="BC140" s="32">
        <f t="shared" si="39"/>
        <v>0</v>
      </c>
      <c r="BD140" s="32">
        <f t="shared" si="40"/>
        <v>0</v>
      </c>
      <c r="BE140" s="32">
        <v>0</v>
      </c>
      <c r="BF140" s="32">
        <f>144</f>
        <v>144</v>
      </c>
      <c r="BH140" s="13">
        <f t="shared" si="41"/>
        <v>0</v>
      </c>
      <c r="BI140" s="13">
        <f t="shared" si="42"/>
        <v>0</v>
      </c>
      <c r="BJ140" s="13">
        <f t="shared" si="43"/>
        <v>0</v>
      </c>
    </row>
    <row r="141" spans="1:62" x14ac:dyDescent="0.25">
      <c r="A141" s="132" t="s">
        <v>93</v>
      </c>
      <c r="B141" s="132" t="s">
        <v>290</v>
      </c>
      <c r="C141" s="225" t="s">
        <v>509</v>
      </c>
      <c r="D141" s="221"/>
      <c r="E141" s="221"/>
      <c r="F141" s="132" t="s">
        <v>628</v>
      </c>
      <c r="G141" s="77">
        <v>3</v>
      </c>
      <c r="H141" s="17">
        <v>0</v>
      </c>
      <c r="I141" s="12">
        <f t="shared" si="22"/>
        <v>0</v>
      </c>
      <c r="J141" s="12">
        <f t="shared" si="23"/>
        <v>0</v>
      </c>
      <c r="K141" s="12">
        <f t="shared" si="24"/>
        <v>0</v>
      </c>
      <c r="L141" s="37">
        <f>IF(K264=0,0,K141/K264)</f>
        <v>0</v>
      </c>
      <c r="M141" s="27" t="s">
        <v>657</v>
      </c>
      <c r="Z141" s="32">
        <f t="shared" si="25"/>
        <v>0</v>
      </c>
      <c r="AB141" s="32">
        <f t="shared" si="26"/>
        <v>0</v>
      </c>
      <c r="AC141" s="32">
        <f t="shared" si="27"/>
        <v>0</v>
      </c>
      <c r="AD141" s="32">
        <f t="shared" si="28"/>
        <v>0</v>
      </c>
      <c r="AE141" s="32">
        <f t="shared" si="29"/>
        <v>0</v>
      </c>
      <c r="AF141" s="32">
        <f t="shared" si="30"/>
        <v>0</v>
      </c>
      <c r="AG141" s="32">
        <f t="shared" si="31"/>
        <v>0</v>
      </c>
      <c r="AH141" s="32">
        <f t="shared" si="32"/>
        <v>0</v>
      </c>
      <c r="AI141" s="28"/>
      <c r="AJ141" s="12">
        <f t="shared" si="33"/>
        <v>0</v>
      </c>
      <c r="AK141" s="12">
        <f t="shared" si="34"/>
        <v>0</v>
      </c>
      <c r="AL141" s="12">
        <f t="shared" si="35"/>
        <v>0</v>
      </c>
      <c r="AN141" s="32">
        <v>21</v>
      </c>
      <c r="AO141" s="32">
        <f>H141*0.0780489864864865</f>
        <v>0</v>
      </c>
      <c r="AP141" s="32">
        <f>H141*(1-0.0780489864864865)</f>
        <v>0</v>
      </c>
      <c r="AQ141" s="27" t="s">
        <v>13</v>
      </c>
      <c r="AV141" s="32">
        <f t="shared" si="36"/>
        <v>0</v>
      </c>
      <c r="AW141" s="32">
        <f t="shared" si="37"/>
        <v>0</v>
      </c>
      <c r="AX141" s="32">
        <f t="shared" si="38"/>
        <v>0</v>
      </c>
      <c r="AY141" s="33" t="s">
        <v>691</v>
      </c>
      <c r="AZ141" s="33" t="s">
        <v>717</v>
      </c>
      <c r="BA141" s="28" t="s">
        <v>721</v>
      </c>
      <c r="BC141" s="32">
        <f t="shared" si="39"/>
        <v>0</v>
      </c>
      <c r="BD141" s="32">
        <f t="shared" si="40"/>
        <v>0</v>
      </c>
      <c r="BE141" s="32">
        <v>0</v>
      </c>
      <c r="BF141" s="32">
        <f>145</f>
        <v>145</v>
      </c>
      <c r="BH141" s="12">
        <f t="shared" si="41"/>
        <v>0</v>
      </c>
      <c r="BI141" s="12">
        <f t="shared" si="42"/>
        <v>0</v>
      </c>
      <c r="BJ141" s="12">
        <f t="shared" si="43"/>
        <v>0</v>
      </c>
    </row>
    <row r="142" spans="1:62" x14ac:dyDescent="0.25">
      <c r="A142" s="134" t="s">
        <v>94</v>
      </c>
      <c r="B142" s="134" t="s">
        <v>291</v>
      </c>
      <c r="C142" s="235" t="s">
        <v>1137</v>
      </c>
      <c r="D142" s="231"/>
      <c r="E142" s="231"/>
      <c r="F142" s="134" t="s">
        <v>629</v>
      </c>
      <c r="G142" s="78">
        <v>38.32</v>
      </c>
      <c r="H142" s="20">
        <v>0</v>
      </c>
      <c r="I142" s="13">
        <f t="shared" si="22"/>
        <v>0</v>
      </c>
      <c r="J142" s="13">
        <f t="shared" si="23"/>
        <v>0</v>
      </c>
      <c r="K142" s="13">
        <f t="shared" si="24"/>
        <v>0</v>
      </c>
      <c r="L142" s="39">
        <f>IF(K264=0,0,K142/K264)</f>
        <v>0</v>
      </c>
      <c r="M142" s="29" t="s">
        <v>657</v>
      </c>
      <c r="Z142" s="32">
        <f t="shared" si="25"/>
        <v>0</v>
      </c>
      <c r="AB142" s="32">
        <f t="shared" si="26"/>
        <v>0</v>
      </c>
      <c r="AC142" s="32">
        <f t="shared" si="27"/>
        <v>0</v>
      </c>
      <c r="AD142" s="32">
        <f t="shared" si="28"/>
        <v>0</v>
      </c>
      <c r="AE142" s="32">
        <f t="shared" si="29"/>
        <v>0</v>
      </c>
      <c r="AF142" s="32">
        <f t="shared" si="30"/>
        <v>0</v>
      </c>
      <c r="AG142" s="32">
        <f t="shared" si="31"/>
        <v>0</v>
      </c>
      <c r="AH142" s="32">
        <f t="shared" si="32"/>
        <v>0</v>
      </c>
      <c r="AI142" s="28"/>
      <c r="AJ142" s="13">
        <f t="shared" si="33"/>
        <v>0</v>
      </c>
      <c r="AK142" s="13">
        <f t="shared" si="34"/>
        <v>0</v>
      </c>
      <c r="AL142" s="13">
        <f t="shared" si="35"/>
        <v>0</v>
      </c>
      <c r="AN142" s="32">
        <v>21</v>
      </c>
      <c r="AO142" s="32">
        <f>H142*1</f>
        <v>0</v>
      </c>
      <c r="AP142" s="32">
        <f>H142*(1-1)</f>
        <v>0</v>
      </c>
      <c r="AQ142" s="29" t="s">
        <v>13</v>
      </c>
      <c r="AV142" s="32">
        <f t="shared" si="36"/>
        <v>0</v>
      </c>
      <c r="AW142" s="32">
        <f t="shared" si="37"/>
        <v>0</v>
      </c>
      <c r="AX142" s="32">
        <f t="shared" si="38"/>
        <v>0</v>
      </c>
      <c r="AY142" s="33" t="s">
        <v>691</v>
      </c>
      <c r="AZ142" s="33" t="s">
        <v>717</v>
      </c>
      <c r="BA142" s="28" t="s">
        <v>721</v>
      </c>
      <c r="BC142" s="32">
        <f t="shared" si="39"/>
        <v>0</v>
      </c>
      <c r="BD142" s="32">
        <f t="shared" si="40"/>
        <v>0</v>
      </c>
      <c r="BE142" s="32">
        <v>0</v>
      </c>
      <c r="BF142" s="32">
        <f>146</f>
        <v>146</v>
      </c>
      <c r="BH142" s="13">
        <f t="shared" si="41"/>
        <v>0</v>
      </c>
      <c r="BI142" s="13">
        <f t="shared" si="42"/>
        <v>0</v>
      </c>
      <c r="BJ142" s="13">
        <f t="shared" si="43"/>
        <v>0</v>
      </c>
    </row>
    <row r="143" spans="1:62" x14ac:dyDescent="0.25">
      <c r="A143" s="134" t="s">
        <v>95</v>
      </c>
      <c r="B143" s="134" t="s">
        <v>292</v>
      </c>
      <c r="C143" s="235" t="s">
        <v>1138</v>
      </c>
      <c r="D143" s="231"/>
      <c r="E143" s="231"/>
      <c r="F143" s="134" t="s">
        <v>629</v>
      </c>
      <c r="G143" s="78">
        <v>38.32</v>
      </c>
      <c r="H143" s="20">
        <v>0</v>
      </c>
      <c r="I143" s="13">
        <f t="shared" si="22"/>
        <v>0</v>
      </c>
      <c r="J143" s="13">
        <f t="shared" si="23"/>
        <v>0</v>
      </c>
      <c r="K143" s="13">
        <f t="shared" si="24"/>
        <v>0</v>
      </c>
      <c r="L143" s="39">
        <f>IF(K264=0,0,K143/K264)</f>
        <v>0</v>
      </c>
      <c r="M143" s="29" t="s">
        <v>657</v>
      </c>
      <c r="Z143" s="32">
        <f t="shared" si="25"/>
        <v>0</v>
      </c>
      <c r="AB143" s="32">
        <f t="shared" si="26"/>
        <v>0</v>
      </c>
      <c r="AC143" s="32">
        <f t="shared" si="27"/>
        <v>0</v>
      </c>
      <c r="AD143" s="32">
        <f t="shared" si="28"/>
        <v>0</v>
      </c>
      <c r="AE143" s="32">
        <f t="shared" si="29"/>
        <v>0</v>
      </c>
      <c r="AF143" s="32">
        <f t="shared" si="30"/>
        <v>0</v>
      </c>
      <c r="AG143" s="32">
        <f t="shared" si="31"/>
        <v>0</v>
      </c>
      <c r="AH143" s="32">
        <f t="shared" si="32"/>
        <v>0</v>
      </c>
      <c r="AI143" s="28"/>
      <c r="AJ143" s="13">
        <f t="shared" si="33"/>
        <v>0</v>
      </c>
      <c r="AK143" s="13">
        <f t="shared" si="34"/>
        <v>0</v>
      </c>
      <c r="AL143" s="13">
        <f t="shared" si="35"/>
        <v>0</v>
      </c>
      <c r="AN143" s="32">
        <v>21</v>
      </c>
      <c r="AO143" s="32">
        <f>H143*1</f>
        <v>0</v>
      </c>
      <c r="AP143" s="32">
        <f>H143*(1-1)</f>
        <v>0</v>
      </c>
      <c r="AQ143" s="29" t="s">
        <v>13</v>
      </c>
      <c r="AV143" s="32">
        <f t="shared" si="36"/>
        <v>0</v>
      </c>
      <c r="AW143" s="32">
        <f t="shared" si="37"/>
        <v>0</v>
      </c>
      <c r="AX143" s="32">
        <f t="shared" si="38"/>
        <v>0</v>
      </c>
      <c r="AY143" s="33" t="s">
        <v>691</v>
      </c>
      <c r="AZ143" s="33" t="s">
        <v>717</v>
      </c>
      <c r="BA143" s="28" t="s">
        <v>721</v>
      </c>
      <c r="BC143" s="32">
        <f t="shared" si="39"/>
        <v>0</v>
      </c>
      <c r="BD143" s="32">
        <f t="shared" si="40"/>
        <v>0</v>
      </c>
      <c r="BE143" s="32">
        <v>0</v>
      </c>
      <c r="BF143" s="32">
        <f>147</f>
        <v>147</v>
      </c>
      <c r="BH143" s="13">
        <f t="shared" si="41"/>
        <v>0</v>
      </c>
      <c r="BI143" s="13">
        <f t="shared" si="42"/>
        <v>0</v>
      </c>
      <c r="BJ143" s="13">
        <f t="shared" si="43"/>
        <v>0</v>
      </c>
    </row>
    <row r="144" spans="1:62" x14ac:dyDescent="0.25">
      <c r="A144" s="134" t="s">
        <v>96</v>
      </c>
      <c r="B144" s="134" t="s">
        <v>293</v>
      </c>
      <c r="C144" s="235" t="s">
        <v>510</v>
      </c>
      <c r="D144" s="231"/>
      <c r="E144" s="231"/>
      <c r="F144" s="134" t="s">
        <v>625</v>
      </c>
      <c r="G144" s="78">
        <v>8.19</v>
      </c>
      <c r="H144" s="20">
        <v>0</v>
      </c>
      <c r="I144" s="13">
        <f t="shared" si="22"/>
        <v>0</v>
      </c>
      <c r="J144" s="13">
        <f t="shared" si="23"/>
        <v>0</v>
      </c>
      <c r="K144" s="13">
        <f t="shared" si="24"/>
        <v>0</v>
      </c>
      <c r="L144" s="39">
        <f>IF(K264=0,0,K144/K264)</f>
        <v>0</v>
      </c>
      <c r="M144" s="29" t="s">
        <v>657</v>
      </c>
      <c r="Z144" s="32">
        <f t="shared" si="25"/>
        <v>0</v>
      </c>
      <c r="AB144" s="32">
        <f t="shared" si="26"/>
        <v>0</v>
      </c>
      <c r="AC144" s="32">
        <f t="shared" si="27"/>
        <v>0</v>
      </c>
      <c r="AD144" s="32">
        <f t="shared" si="28"/>
        <v>0</v>
      </c>
      <c r="AE144" s="32">
        <f t="shared" si="29"/>
        <v>0</v>
      </c>
      <c r="AF144" s="32">
        <f t="shared" si="30"/>
        <v>0</v>
      </c>
      <c r="AG144" s="32">
        <f t="shared" si="31"/>
        <v>0</v>
      </c>
      <c r="AH144" s="32">
        <f t="shared" si="32"/>
        <v>0</v>
      </c>
      <c r="AI144" s="28"/>
      <c r="AJ144" s="13">
        <f t="shared" si="33"/>
        <v>0</v>
      </c>
      <c r="AK144" s="13">
        <f t="shared" si="34"/>
        <v>0</v>
      </c>
      <c r="AL144" s="13">
        <f t="shared" si="35"/>
        <v>0</v>
      </c>
      <c r="AN144" s="32">
        <v>21</v>
      </c>
      <c r="AO144" s="32">
        <f>H144*1</f>
        <v>0</v>
      </c>
      <c r="AP144" s="32">
        <f>H144*(1-1)</f>
        <v>0</v>
      </c>
      <c r="AQ144" s="29" t="s">
        <v>13</v>
      </c>
      <c r="AV144" s="32">
        <f t="shared" si="36"/>
        <v>0</v>
      </c>
      <c r="AW144" s="32">
        <f t="shared" si="37"/>
        <v>0</v>
      </c>
      <c r="AX144" s="32">
        <f t="shared" si="38"/>
        <v>0</v>
      </c>
      <c r="AY144" s="33" t="s">
        <v>691</v>
      </c>
      <c r="AZ144" s="33" t="s">
        <v>717</v>
      </c>
      <c r="BA144" s="28" t="s">
        <v>721</v>
      </c>
      <c r="BC144" s="32">
        <f t="shared" si="39"/>
        <v>0</v>
      </c>
      <c r="BD144" s="32">
        <f t="shared" si="40"/>
        <v>0</v>
      </c>
      <c r="BE144" s="32">
        <v>0</v>
      </c>
      <c r="BF144" s="32">
        <f>148</f>
        <v>148</v>
      </c>
      <c r="BH144" s="13">
        <f t="shared" si="41"/>
        <v>0</v>
      </c>
      <c r="BI144" s="13">
        <f t="shared" si="42"/>
        <v>0</v>
      </c>
      <c r="BJ144" s="13">
        <f t="shared" si="43"/>
        <v>0</v>
      </c>
    </row>
    <row r="145" spans="1:62" x14ac:dyDescent="0.25">
      <c r="A145" s="136" t="s">
        <v>97</v>
      </c>
      <c r="B145" s="136" t="s">
        <v>294</v>
      </c>
      <c r="C145" s="220" t="s">
        <v>511</v>
      </c>
      <c r="D145" s="221"/>
      <c r="E145" s="222"/>
      <c r="F145" s="136" t="s">
        <v>632</v>
      </c>
      <c r="G145" s="88">
        <v>2</v>
      </c>
      <c r="H145" s="17">
        <v>0</v>
      </c>
      <c r="I145" s="89">
        <f t="shared" si="22"/>
        <v>0</v>
      </c>
      <c r="J145" s="89">
        <f t="shared" si="23"/>
        <v>0</v>
      </c>
      <c r="K145" s="89">
        <f t="shared" si="24"/>
        <v>0</v>
      </c>
      <c r="L145" s="90">
        <f>IF(K264=0,0,K145/K264)</f>
        <v>0</v>
      </c>
      <c r="M145" s="91"/>
      <c r="Z145" s="32">
        <f t="shared" si="25"/>
        <v>0</v>
      </c>
      <c r="AB145" s="32">
        <f t="shared" si="26"/>
        <v>0</v>
      </c>
      <c r="AC145" s="32">
        <f t="shared" si="27"/>
        <v>0</v>
      </c>
      <c r="AD145" s="32">
        <f t="shared" si="28"/>
        <v>0</v>
      </c>
      <c r="AE145" s="32">
        <f t="shared" si="29"/>
        <v>0</v>
      </c>
      <c r="AF145" s="32">
        <f t="shared" si="30"/>
        <v>0</v>
      </c>
      <c r="AG145" s="32">
        <f t="shared" si="31"/>
        <v>0</v>
      </c>
      <c r="AH145" s="32">
        <f t="shared" si="32"/>
        <v>0</v>
      </c>
      <c r="AI145" s="28"/>
      <c r="AJ145" s="12">
        <f t="shared" si="33"/>
        <v>0</v>
      </c>
      <c r="AK145" s="12">
        <f t="shared" si="34"/>
        <v>0</v>
      </c>
      <c r="AL145" s="12">
        <f t="shared" si="35"/>
        <v>0</v>
      </c>
      <c r="AN145" s="32">
        <v>21</v>
      </c>
      <c r="AO145" s="32">
        <f>H145*0.9</f>
        <v>0</v>
      </c>
      <c r="AP145" s="32">
        <f>H145*(1-0.9)</f>
        <v>0</v>
      </c>
      <c r="AQ145" s="27" t="s">
        <v>13</v>
      </c>
      <c r="AV145" s="32">
        <f t="shared" si="36"/>
        <v>0</v>
      </c>
      <c r="AW145" s="32">
        <f t="shared" si="37"/>
        <v>0</v>
      </c>
      <c r="AX145" s="32">
        <f t="shared" si="38"/>
        <v>0</v>
      </c>
      <c r="AY145" s="33" t="s">
        <v>691</v>
      </c>
      <c r="AZ145" s="33" t="s">
        <v>717</v>
      </c>
      <c r="BA145" s="28" t="s">
        <v>721</v>
      </c>
      <c r="BC145" s="32">
        <f t="shared" si="39"/>
        <v>0</v>
      </c>
      <c r="BD145" s="32">
        <f t="shared" si="40"/>
        <v>0</v>
      </c>
      <c r="BE145" s="32">
        <v>0</v>
      </c>
      <c r="BF145" s="32">
        <f>149</f>
        <v>149</v>
      </c>
      <c r="BH145" s="12">
        <f t="shared" si="41"/>
        <v>0</v>
      </c>
      <c r="BI145" s="12">
        <f t="shared" si="42"/>
        <v>0</v>
      </c>
      <c r="BJ145" s="12">
        <f t="shared" si="43"/>
        <v>0</v>
      </c>
    </row>
    <row r="146" spans="1:62" x14ac:dyDescent="0.25">
      <c r="A146" s="82" t="s">
        <v>98</v>
      </c>
      <c r="B146" s="82" t="s">
        <v>295</v>
      </c>
      <c r="C146" s="236" t="s">
        <v>512</v>
      </c>
      <c r="D146" s="221"/>
      <c r="E146" s="224"/>
      <c r="F146" s="82" t="s">
        <v>632</v>
      </c>
      <c r="G146" s="83">
        <v>2</v>
      </c>
      <c r="H146" s="17">
        <v>0</v>
      </c>
      <c r="I146" s="84">
        <f t="shared" si="22"/>
        <v>0</v>
      </c>
      <c r="J146" s="84">
        <f t="shared" si="23"/>
        <v>0</v>
      </c>
      <c r="K146" s="84">
        <f t="shared" si="24"/>
        <v>0</v>
      </c>
      <c r="L146" s="86">
        <f>IF(K264=0,0,K146/K264)</f>
        <v>0</v>
      </c>
      <c r="M146" s="85"/>
      <c r="Z146" s="32">
        <f t="shared" si="25"/>
        <v>0</v>
      </c>
      <c r="AB146" s="32">
        <f t="shared" si="26"/>
        <v>0</v>
      </c>
      <c r="AC146" s="32">
        <f t="shared" si="27"/>
        <v>0</v>
      </c>
      <c r="AD146" s="32">
        <f t="shared" si="28"/>
        <v>0</v>
      </c>
      <c r="AE146" s="32">
        <f t="shared" si="29"/>
        <v>0</v>
      </c>
      <c r="AF146" s="32">
        <f t="shared" si="30"/>
        <v>0</v>
      </c>
      <c r="AG146" s="32">
        <f t="shared" si="31"/>
        <v>0</v>
      </c>
      <c r="AH146" s="32">
        <f t="shared" si="32"/>
        <v>0</v>
      </c>
      <c r="AI146" s="28"/>
      <c r="AJ146" s="12">
        <f t="shared" si="33"/>
        <v>0</v>
      </c>
      <c r="AK146" s="12">
        <f t="shared" si="34"/>
        <v>0</v>
      </c>
      <c r="AL146" s="12">
        <f t="shared" si="35"/>
        <v>0</v>
      </c>
      <c r="AN146" s="32">
        <v>21</v>
      </c>
      <c r="AO146" s="32">
        <f>H146*0.909090909090909</f>
        <v>0</v>
      </c>
      <c r="AP146" s="32">
        <f>H146*(1-0.909090909090909)</f>
        <v>0</v>
      </c>
      <c r="AQ146" s="27" t="s">
        <v>13</v>
      </c>
      <c r="AV146" s="32">
        <f t="shared" si="36"/>
        <v>0</v>
      </c>
      <c r="AW146" s="32">
        <f t="shared" si="37"/>
        <v>0</v>
      </c>
      <c r="AX146" s="32">
        <f t="shared" si="38"/>
        <v>0</v>
      </c>
      <c r="AY146" s="33" t="s">
        <v>691</v>
      </c>
      <c r="AZ146" s="33" t="s">
        <v>717</v>
      </c>
      <c r="BA146" s="28" t="s">
        <v>721</v>
      </c>
      <c r="BC146" s="32">
        <f t="shared" si="39"/>
        <v>0</v>
      </c>
      <c r="BD146" s="32">
        <f t="shared" si="40"/>
        <v>0</v>
      </c>
      <c r="BE146" s="32">
        <v>0</v>
      </c>
      <c r="BF146" s="32">
        <f>150</f>
        <v>150</v>
      </c>
      <c r="BH146" s="12">
        <f t="shared" si="41"/>
        <v>0</v>
      </c>
      <c r="BI146" s="12">
        <f t="shared" si="42"/>
        <v>0</v>
      </c>
      <c r="BJ146" s="12">
        <f t="shared" si="43"/>
        <v>0</v>
      </c>
    </row>
    <row r="147" spans="1:62" x14ac:dyDescent="0.25">
      <c r="A147" s="132" t="s">
        <v>99</v>
      </c>
      <c r="B147" s="132" t="s">
        <v>296</v>
      </c>
      <c r="C147" s="225" t="s">
        <v>513</v>
      </c>
      <c r="D147" s="221"/>
      <c r="E147" s="221"/>
      <c r="F147" s="132" t="s">
        <v>627</v>
      </c>
      <c r="G147" s="77">
        <v>0.29099999999999998</v>
      </c>
      <c r="H147" s="17">
        <v>0</v>
      </c>
      <c r="I147" s="12">
        <f t="shared" si="22"/>
        <v>0</v>
      </c>
      <c r="J147" s="12">
        <f t="shared" si="23"/>
        <v>0</v>
      </c>
      <c r="K147" s="12">
        <f t="shared" si="24"/>
        <v>0</v>
      </c>
      <c r="L147" s="37">
        <f>IF(K264=0,0,K147/K264)</f>
        <v>0</v>
      </c>
      <c r="M147" s="27" t="s">
        <v>657</v>
      </c>
      <c r="Z147" s="32">
        <f t="shared" si="25"/>
        <v>0</v>
      </c>
      <c r="AB147" s="32">
        <f t="shared" si="26"/>
        <v>0</v>
      </c>
      <c r="AC147" s="32">
        <f t="shared" si="27"/>
        <v>0</v>
      </c>
      <c r="AD147" s="32">
        <f t="shared" si="28"/>
        <v>0</v>
      </c>
      <c r="AE147" s="32">
        <f t="shared" si="29"/>
        <v>0</v>
      </c>
      <c r="AF147" s="32">
        <f t="shared" si="30"/>
        <v>0</v>
      </c>
      <c r="AG147" s="32">
        <f t="shared" si="31"/>
        <v>0</v>
      </c>
      <c r="AH147" s="32">
        <f t="shared" si="32"/>
        <v>0</v>
      </c>
      <c r="AI147" s="28"/>
      <c r="AJ147" s="12">
        <f t="shared" si="33"/>
        <v>0</v>
      </c>
      <c r="AK147" s="12">
        <f t="shared" si="34"/>
        <v>0</v>
      </c>
      <c r="AL147" s="12">
        <f t="shared" si="35"/>
        <v>0</v>
      </c>
      <c r="AN147" s="32">
        <v>21</v>
      </c>
      <c r="AO147" s="32">
        <f>H147*0</f>
        <v>0</v>
      </c>
      <c r="AP147" s="32">
        <f>H147*(1-0)</f>
        <v>0</v>
      </c>
      <c r="AQ147" s="27" t="s">
        <v>11</v>
      </c>
      <c r="AV147" s="32">
        <f t="shared" si="36"/>
        <v>0</v>
      </c>
      <c r="AW147" s="32">
        <f t="shared" si="37"/>
        <v>0</v>
      </c>
      <c r="AX147" s="32">
        <f t="shared" si="38"/>
        <v>0</v>
      </c>
      <c r="AY147" s="33" t="s">
        <v>691</v>
      </c>
      <c r="AZ147" s="33" t="s">
        <v>717</v>
      </c>
      <c r="BA147" s="28" t="s">
        <v>721</v>
      </c>
      <c r="BC147" s="32">
        <f t="shared" si="39"/>
        <v>0</v>
      </c>
      <c r="BD147" s="32">
        <f t="shared" si="40"/>
        <v>0</v>
      </c>
      <c r="BE147" s="32">
        <v>0</v>
      </c>
      <c r="BF147" s="32">
        <f>151</f>
        <v>151</v>
      </c>
      <c r="BH147" s="12">
        <f t="shared" si="41"/>
        <v>0</v>
      </c>
      <c r="BI147" s="12">
        <f t="shared" si="42"/>
        <v>0</v>
      </c>
      <c r="BJ147" s="12">
        <f t="shared" si="43"/>
        <v>0</v>
      </c>
    </row>
    <row r="148" spans="1:62" x14ac:dyDescent="0.25">
      <c r="A148" s="5"/>
      <c r="B148" s="133" t="s">
        <v>297</v>
      </c>
      <c r="C148" s="226" t="s">
        <v>514</v>
      </c>
      <c r="D148" s="227"/>
      <c r="E148" s="227"/>
      <c r="F148" s="5" t="s">
        <v>6</v>
      </c>
      <c r="G148" s="5" t="s">
        <v>6</v>
      </c>
      <c r="H148" s="18" t="s">
        <v>6</v>
      </c>
      <c r="I148" s="35">
        <f>SUM(I149:I151)</f>
        <v>0</v>
      </c>
      <c r="J148" s="35">
        <f>SUM(J149:J151)</f>
        <v>0</v>
      </c>
      <c r="K148" s="35">
        <f>SUM(K149:K151)</f>
        <v>0</v>
      </c>
      <c r="L148" s="38">
        <f>IF(K264=0,0,K148/K264)</f>
        <v>0</v>
      </c>
      <c r="M148" s="28"/>
      <c r="AI148" s="28"/>
      <c r="AS148" s="35">
        <f>SUM(AJ149:AJ151)</f>
        <v>0</v>
      </c>
      <c r="AT148" s="35">
        <f>SUM(AK149:AK151)</f>
        <v>0</v>
      </c>
      <c r="AU148" s="35">
        <f>SUM(AL149:AL151)</f>
        <v>0</v>
      </c>
    </row>
    <row r="149" spans="1:62" x14ac:dyDescent="0.25">
      <c r="A149" s="134" t="s">
        <v>100</v>
      </c>
      <c r="B149" s="134" t="s">
        <v>298</v>
      </c>
      <c r="C149" s="235" t="s">
        <v>515</v>
      </c>
      <c r="D149" s="231"/>
      <c r="E149" s="231"/>
      <c r="F149" s="134" t="s">
        <v>632</v>
      </c>
      <c r="G149" s="78">
        <v>2</v>
      </c>
      <c r="H149" s="20">
        <v>0</v>
      </c>
      <c r="I149" s="13">
        <f>G149*AO149</f>
        <v>0</v>
      </c>
      <c r="J149" s="13">
        <f>G149*AP149</f>
        <v>0</v>
      </c>
      <c r="K149" s="13">
        <f>G149*H149</f>
        <v>0</v>
      </c>
      <c r="L149" s="39">
        <f>IF(K264=0,0,K149/K264)</f>
        <v>0</v>
      </c>
      <c r="M149" s="29"/>
      <c r="Z149" s="32">
        <f>IF(AQ149="5",BJ149,0)</f>
        <v>0</v>
      </c>
      <c r="AB149" s="32">
        <f>IF(AQ149="1",BH149,0)</f>
        <v>0</v>
      </c>
      <c r="AC149" s="32">
        <f>IF(AQ149="1",BI149,0)</f>
        <v>0</v>
      </c>
      <c r="AD149" s="32">
        <f>IF(AQ149="7",BH149,0)</f>
        <v>0</v>
      </c>
      <c r="AE149" s="32">
        <f>IF(AQ149="7",BI149,0)</f>
        <v>0</v>
      </c>
      <c r="AF149" s="32">
        <f>IF(AQ149="2",BH149,0)</f>
        <v>0</v>
      </c>
      <c r="AG149" s="32">
        <f>IF(AQ149="2",BI149,0)</f>
        <v>0</v>
      </c>
      <c r="AH149" s="32">
        <f>IF(AQ149="0",BJ149,0)</f>
        <v>0</v>
      </c>
      <c r="AI149" s="28"/>
      <c r="AJ149" s="13">
        <f>IF(AN149=0,K149,0)</f>
        <v>0</v>
      </c>
      <c r="AK149" s="13">
        <f>IF(AN149=15,K149,0)</f>
        <v>0</v>
      </c>
      <c r="AL149" s="13">
        <f>IF(AN149=21,K149,0)</f>
        <v>0</v>
      </c>
      <c r="AN149" s="32">
        <v>21</v>
      </c>
      <c r="AO149" s="32">
        <f>H149*1</f>
        <v>0</v>
      </c>
      <c r="AP149" s="32">
        <f>H149*(1-1)</f>
        <v>0</v>
      </c>
      <c r="AQ149" s="29" t="s">
        <v>13</v>
      </c>
      <c r="AV149" s="32">
        <f>AW149+AX149</f>
        <v>0</v>
      </c>
      <c r="AW149" s="32">
        <f>G149*AO149</f>
        <v>0</v>
      </c>
      <c r="AX149" s="32">
        <f>G149*AP149</f>
        <v>0</v>
      </c>
      <c r="AY149" s="33" t="s">
        <v>692</v>
      </c>
      <c r="AZ149" s="33" t="s">
        <v>717</v>
      </c>
      <c r="BA149" s="28" t="s">
        <v>721</v>
      </c>
      <c r="BC149" s="32">
        <f>AW149+AX149</f>
        <v>0</v>
      </c>
      <c r="BD149" s="32">
        <f>H149/(100-BE149)*100</f>
        <v>0</v>
      </c>
      <c r="BE149" s="32">
        <v>0</v>
      </c>
      <c r="BF149" s="32">
        <f>153</f>
        <v>153</v>
      </c>
      <c r="BH149" s="13">
        <f>G149*AO149</f>
        <v>0</v>
      </c>
      <c r="BI149" s="13">
        <f>G149*AP149</f>
        <v>0</v>
      </c>
      <c r="BJ149" s="13">
        <f>G149*H149</f>
        <v>0</v>
      </c>
    </row>
    <row r="150" spans="1:62" x14ac:dyDescent="0.25">
      <c r="A150" s="132" t="s">
        <v>101</v>
      </c>
      <c r="B150" s="132" t="s">
        <v>299</v>
      </c>
      <c r="C150" s="225" t="s">
        <v>516</v>
      </c>
      <c r="D150" s="221"/>
      <c r="E150" s="221"/>
      <c r="F150" s="132" t="s">
        <v>628</v>
      </c>
      <c r="G150" s="77">
        <v>2</v>
      </c>
      <c r="H150" s="17">
        <v>0</v>
      </c>
      <c r="I150" s="12">
        <f>G150*AO150</f>
        <v>0</v>
      </c>
      <c r="J150" s="12">
        <f>G150*AP150</f>
        <v>0</v>
      </c>
      <c r="K150" s="12">
        <f>G150*H150</f>
        <v>0</v>
      </c>
      <c r="L150" s="37">
        <f>IF(K264=0,0,K150/K264)</f>
        <v>0</v>
      </c>
      <c r="M150" s="27" t="s">
        <v>657</v>
      </c>
      <c r="Z150" s="32">
        <f>IF(AQ150="5",BJ150,0)</f>
        <v>0</v>
      </c>
      <c r="AB150" s="32">
        <f>IF(AQ150="1",BH150,0)</f>
        <v>0</v>
      </c>
      <c r="AC150" s="32">
        <f>IF(AQ150="1",BI150,0)</f>
        <v>0</v>
      </c>
      <c r="AD150" s="32">
        <f>IF(AQ150="7",BH150,0)</f>
        <v>0</v>
      </c>
      <c r="AE150" s="32">
        <f>IF(AQ150="7",BI150,0)</f>
        <v>0</v>
      </c>
      <c r="AF150" s="32">
        <f>IF(AQ150="2",BH150,0)</f>
        <v>0</v>
      </c>
      <c r="AG150" s="32">
        <f>IF(AQ150="2",BI150,0)</f>
        <v>0</v>
      </c>
      <c r="AH150" s="32">
        <f>IF(AQ150="0",BJ150,0)</f>
        <v>0</v>
      </c>
      <c r="AI150" s="28"/>
      <c r="AJ150" s="12">
        <f>IF(AN150=0,K150,0)</f>
        <v>0</v>
      </c>
      <c r="AK150" s="12">
        <f>IF(AN150=15,K150,0)</f>
        <v>0</v>
      </c>
      <c r="AL150" s="12">
        <f>IF(AN150=21,K150,0)</f>
        <v>0</v>
      </c>
      <c r="AN150" s="32">
        <v>21</v>
      </c>
      <c r="AO150" s="32">
        <f>H150*0.0264359464627151</f>
        <v>0</v>
      </c>
      <c r="AP150" s="32">
        <f>H150*(1-0.0264359464627151)</f>
        <v>0</v>
      </c>
      <c r="AQ150" s="27" t="s">
        <v>13</v>
      </c>
      <c r="AV150" s="32">
        <f>AW150+AX150</f>
        <v>0</v>
      </c>
      <c r="AW150" s="32">
        <f>G150*AO150</f>
        <v>0</v>
      </c>
      <c r="AX150" s="32">
        <f>G150*AP150</f>
        <v>0</v>
      </c>
      <c r="AY150" s="33" t="s">
        <v>692</v>
      </c>
      <c r="AZ150" s="33" t="s">
        <v>717</v>
      </c>
      <c r="BA150" s="28" t="s">
        <v>721</v>
      </c>
      <c r="BC150" s="32">
        <f>AW150+AX150</f>
        <v>0</v>
      </c>
      <c r="BD150" s="32">
        <f>H150/(100-BE150)*100</f>
        <v>0</v>
      </c>
      <c r="BE150" s="32">
        <v>0</v>
      </c>
      <c r="BF150" s="32">
        <f>154</f>
        <v>154</v>
      </c>
      <c r="BH150" s="12">
        <f>G150*AO150</f>
        <v>0</v>
      </c>
      <c r="BI150" s="12">
        <f>G150*AP150</f>
        <v>0</v>
      </c>
      <c r="BJ150" s="12">
        <f>G150*H150</f>
        <v>0</v>
      </c>
    </row>
    <row r="151" spans="1:62" x14ac:dyDescent="0.25">
      <c r="A151" s="132" t="s">
        <v>102</v>
      </c>
      <c r="B151" s="132" t="s">
        <v>300</v>
      </c>
      <c r="C151" s="225" t="s">
        <v>517</v>
      </c>
      <c r="D151" s="221"/>
      <c r="E151" s="221"/>
      <c r="F151" s="132" t="s">
        <v>627</v>
      </c>
      <c r="G151" s="77">
        <v>0.502</v>
      </c>
      <c r="H151" s="17">
        <v>0</v>
      </c>
      <c r="I151" s="12">
        <f>G151*AO151</f>
        <v>0</v>
      </c>
      <c r="J151" s="12">
        <f>G151*AP151</f>
        <v>0</v>
      </c>
      <c r="K151" s="12">
        <f>G151*H151</f>
        <v>0</v>
      </c>
      <c r="L151" s="37">
        <f>IF(K264=0,0,K151/K264)</f>
        <v>0</v>
      </c>
      <c r="M151" s="27" t="s">
        <v>657</v>
      </c>
      <c r="Z151" s="32">
        <f>IF(AQ151="5",BJ151,0)</f>
        <v>0</v>
      </c>
      <c r="AB151" s="32">
        <f>IF(AQ151="1",BH151,0)</f>
        <v>0</v>
      </c>
      <c r="AC151" s="32">
        <f>IF(AQ151="1",BI151,0)</f>
        <v>0</v>
      </c>
      <c r="AD151" s="32">
        <f>IF(AQ151="7",BH151,0)</f>
        <v>0</v>
      </c>
      <c r="AE151" s="32">
        <f>IF(AQ151="7",BI151,0)</f>
        <v>0</v>
      </c>
      <c r="AF151" s="32">
        <f>IF(AQ151="2",BH151,0)</f>
        <v>0</v>
      </c>
      <c r="AG151" s="32">
        <f>IF(AQ151="2",BI151,0)</f>
        <v>0</v>
      </c>
      <c r="AH151" s="32">
        <f>IF(AQ151="0",BJ151,0)</f>
        <v>0</v>
      </c>
      <c r="AI151" s="28"/>
      <c r="AJ151" s="12">
        <f>IF(AN151=0,K151,0)</f>
        <v>0</v>
      </c>
      <c r="AK151" s="12">
        <f>IF(AN151=15,K151,0)</f>
        <v>0</v>
      </c>
      <c r="AL151" s="12">
        <f>IF(AN151=21,K151,0)</f>
        <v>0</v>
      </c>
      <c r="AN151" s="32">
        <v>21</v>
      </c>
      <c r="AO151" s="32">
        <f>H151*0</f>
        <v>0</v>
      </c>
      <c r="AP151" s="32">
        <f>H151*(1-0)</f>
        <v>0</v>
      </c>
      <c r="AQ151" s="27" t="s">
        <v>11</v>
      </c>
      <c r="AV151" s="32">
        <f>AW151+AX151</f>
        <v>0</v>
      </c>
      <c r="AW151" s="32">
        <f>G151*AO151</f>
        <v>0</v>
      </c>
      <c r="AX151" s="32">
        <f>G151*AP151</f>
        <v>0</v>
      </c>
      <c r="AY151" s="33" t="s">
        <v>692</v>
      </c>
      <c r="AZ151" s="33" t="s">
        <v>717</v>
      </c>
      <c r="BA151" s="28" t="s">
        <v>721</v>
      </c>
      <c r="BC151" s="32">
        <f>AW151+AX151</f>
        <v>0</v>
      </c>
      <c r="BD151" s="32">
        <f>H151/(100-BE151)*100</f>
        <v>0</v>
      </c>
      <c r="BE151" s="32">
        <v>0</v>
      </c>
      <c r="BF151" s="32">
        <f>155</f>
        <v>155</v>
      </c>
      <c r="BH151" s="12">
        <f>G151*AO151</f>
        <v>0</v>
      </c>
      <c r="BI151" s="12">
        <f>G151*AP151</f>
        <v>0</v>
      </c>
      <c r="BJ151" s="12">
        <f>G151*H151</f>
        <v>0</v>
      </c>
    </row>
    <row r="152" spans="1:62" x14ac:dyDescent="0.25">
      <c r="A152" s="5"/>
      <c r="B152" s="133" t="s">
        <v>301</v>
      </c>
      <c r="C152" s="226" t="s">
        <v>518</v>
      </c>
      <c r="D152" s="227"/>
      <c r="E152" s="227"/>
      <c r="F152" s="5" t="s">
        <v>6</v>
      </c>
      <c r="G152" s="5" t="s">
        <v>6</v>
      </c>
      <c r="H152" s="18" t="s">
        <v>6</v>
      </c>
      <c r="I152" s="35">
        <f>SUM(I153:I154)</f>
        <v>0</v>
      </c>
      <c r="J152" s="35">
        <f>SUM(J153:J154)</f>
        <v>0</v>
      </c>
      <c r="K152" s="35">
        <f>SUM(K153:K154)</f>
        <v>0</v>
      </c>
      <c r="L152" s="38">
        <f>IF(K264=0,0,K152/K264)</f>
        <v>0</v>
      </c>
      <c r="M152" s="28"/>
      <c r="AI152" s="28"/>
      <c r="AS152" s="35">
        <f>SUM(AJ153:AJ154)</f>
        <v>0</v>
      </c>
      <c r="AT152" s="35">
        <f>SUM(AK153:AK154)</f>
        <v>0</v>
      </c>
      <c r="AU152" s="35">
        <f>SUM(AL153:AL154)</f>
        <v>0</v>
      </c>
    </row>
    <row r="153" spans="1:62" x14ac:dyDescent="0.25">
      <c r="A153" s="136" t="s">
        <v>103</v>
      </c>
      <c r="B153" s="136" t="s">
        <v>302</v>
      </c>
      <c r="C153" s="220" t="s">
        <v>519</v>
      </c>
      <c r="D153" s="221"/>
      <c r="E153" s="222"/>
      <c r="F153" s="136" t="s">
        <v>629</v>
      </c>
      <c r="G153" s="88">
        <v>40.81</v>
      </c>
      <c r="H153" s="17">
        <v>0</v>
      </c>
      <c r="I153" s="89">
        <f>G153*AO153</f>
        <v>0</v>
      </c>
      <c r="J153" s="89">
        <f>G153*AP153</f>
        <v>0</v>
      </c>
      <c r="K153" s="89">
        <f>G153*H153</f>
        <v>0</v>
      </c>
      <c r="L153" s="90">
        <f>IF(K264=0,0,K153/K264)</f>
        <v>0</v>
      </c>
      <c r="M153" s="91" t="s">
        <v>657</v>
      </c>
      <c r="Z153" s="32">
        <f>IF(AQ153="5",BJ153,0)</f>
        <v>0</v>
      </c>
      <c r="AB153" s="32">
        <f>IF(AQ153="1",BH153,0)</f>
        <v>0</v>
      </c>
      <c r="AC153" s="32">
        <f>IF(AQ153="1",BI153,0)</f>
        <v>0</v>
      </c>
      <c r="AD153" s="32">
        <f>IF(AQ153="7",BH153,0)</f>
        <v>0</v>
      </c>
      <c r="AE153" s="32">
        <f>IF(AQ153="7",BI153,0)</f>
        <v>0</v>
      </c>
      <c r="AF153" s="32">
        <f>IF(AQ153="2",BH153,0)</f>
        <v>0</v>
      </c>
      <c r="AG153" s="32">
        <f>IF(AQ153="2",BI153,0)</f>
        <v>0</v>
      </c>
      <c r="AH153" s="32">
        <f>IF(AQ153="0",BJ153,0)</f>
        <v>0</v>
      </c>
      <c r="AI153" s="28"/>
      <c r="AJ153" s="12">
        <f>IF(AN153=0,K153,0)</f>
        <v>0</v>
      </c>
      <c r="AK153" s="12">
        <f>IF(AN153=15,K153,0)</f>
        <v>0</v>
      </c>
      <c r="AL153" s="12">
        <f>IF(AN153=21,K153,0)</f>
        <v>0</v>
      </c>
      <c r="AN153" s="32">
        <v>21</v>
      </c>
      <c r="AO153" s="32">
        <f>H153*0.358409411254473</f>
        <v>0</v>
      </c>
      <c r="AP153" s="32">
        <f>H153*(1-0.358409411254473)</f>
        <v>0</v>
      </c>
      <c r="AQ153" s="27" t="s">
        <v>13</v>
      </c>
      <c r="AV153" s="32">
        <f>AW153+AX153</f>
        <v>0</v>
      </c>
      <c r="AW153" s="32">
        <f>G153*AO153</f>
        <v>0</v>
      </c>
      <c r="AX153" s="32">
        <f>G153*AP153</f>
        <v>0</v>
      </c>
      <c r="AY153" s="33" t="s">
        <v>693</v>
      </c>
      <c r="AZ153" s="33" t="s">
        <v>718</v>
      </c>
      <c r="BA153" s="28" t="s">
        <v>721</v>
      </c>
      <c r="BC153" s="32">
        <f>AW153+AX153</f>
        <v>0</v>
      </c>
      <c r="BD153" s="32">
        <f>H153/(100-BE153)*100</f>
        <v>0</v>
      </c>
      <c r="BE153" s="32">
        <v>0</v>
      </c>
      <c r="BF153" s="32">
        <f>157</f>
        <v>157</v>
      </c>
      <c r="BH153" s="12">
        <f>G153*AO153</f>
        <v>0</v>
      </c>
      <c r="BI153" s="12">
        <f>G153*AP153</f>
        <v>0</v>
      </c>
      <c r="BJ153" s="12">
        <f>G153*H153</f>
        <v>0</v>
      </c>
    </row>
    <row r="154" spans="1:62" x14ac:dyDescent="0.25">
      <c r="A154" s="137" t="s">
        <v>104</v>
      </c>
      <c r="B154" s="137" t="s">
        <v>303</v>
      </c>
      <c r="C154" s="223" t="s">
        <v>520</v>
      </c>
      <c r="D154" s="221"/>
      <c r="E154" s="224"/>
      <c r="F154" s="137" t="s">
        <v>625</v>
      </c>
      <c r="G154" s="92">
        <v>48.73</v>
      </c>
      <c r="H154" s="17">
        <v>0</v>
      </c>
      <c r="I154" s="93">
        <f>G154*AO154</f>
        <v>0</v>
      </c>
      <c r="J154" s="93">
        <f>G154*AP154</f>
        <v>0</v>
      </c>
      <c r="K154" s="93">
        <f>G154*H154</f>
        <v>0</v>
      </c>
      <c r="L154" s="94">
        <f>IF(K264=0,0,K154/K264)</f>
        <v>0</v>
      </c>
      <c r="M154" s="95" t="s">
        <v>657</v>
      </c>
      <c r="Z154" s="32">
        <f>IF(AQ154="5",BJ154,0)</f>
        <v>0</v>
      </c>
      <c r="AB154" s="32">
        <f>IF(AQ154="1",BH154,0)</f>
        <v>0</v>
      </c>
      <c r="AC154" s="32">
        <f>IF(AQ154="1",BI154,0)</f>
        <v>0</v>
      </c>
      <c r="AD154" s="32">
        <f>IF(AQ154="7",BH154,0)</f>
        <v>0</v>
      </c>
      <c r="AE154" s="32">
        <f>IF(AQ154="7",BI154,0)</f>
        <v>0</v>
      </c>
      <c r="AF154" s="32">
        <f>IF(AQ154="2",BH154,0)</f>
        <v>0</v>
      </c>
      <c r="AG154" s="32">
        <f>IF(AQ154="2",BI154,0)</f>
        <v>0</v>
      </c>
      <c r="AH154" s="32">
        <f>IF(AQ154="0",BJ154,0)</f>
        <v>0</v>
      </c>
      <c r="AI154" s="28"/>
      <c r="AJ154" s="12">
        <f>IF(AN154=0,K154,0)</f>
        <v>0</v>
      </c>
      <c r="AK154" s="12">
        <f>IF(AN154=15,K154,0)</f>
        <v>0</v>
      </c>
      <c r="AL154" s="12">
        <f>IF(AN154=21,K154,0)</f>
        <v>0</v>
      </c>
      <c r="AN154" s="32">
        <v>21</v>
      </c>
      <c r="AO154" s="32">
        <f>H154*0.999952326665976</f>
        <v>0</v>
      </c>
      <c r="AP154" s="32">
        <f>H154*(1-0.999952326665976)</f>
        <v>0</v>
      </c>
      <c r="AQ154" s="27" t="s">
        <v>13</v>
      </c>
      <c r="AV154" s="32">
        <f>AW154+AX154</f>
        <v>0</v>
      </c>
      <c r="AW154" s="32">
        <f>G154*AO154</f>
        <v>0</v>
      </c>
      <c r="AX154" s="32">
        <f>G154*AP154</f>
        <v>0</v>
      </c>
      <c r="AY154" s="33" t="s">
        <v>693</v>
      </c>
      <c r="AZ154" s="33" t="s">
        <v>718</v>
      </c>
      <c r="BA154" s="28" t="s">
        <v>721</v>
      </c>
      <c r="BC154" s="32">
        <f>AW154+AX154</f>
        <v>0</v>
      </c>
      <c r="BD154" s="32">
        <f>H154/(100-BE154)*100</f>
        <v>0</v>
      </c>
      <c r="BE154" s="32">
        <v>0</v>
      </c>
      <c r="BF154" s="32">
        <f>158</f>
        <v>158</v>
      </c>
      <c r="BH154" s="12">
        <f>G154*AO154</f>
        <v>0</v>
      </c>
      <c r="BI154" s="12">
        <f>G154*AP154</f>
        <v>0</v>
      </c>
      <c r="BJ154" s="12">
        <f>G154*H154</f>
        <v>0</v>
      </c>
    </row>
    <row r="155" spans="1:62" x14ac:dyDescent="0.25">
      <c r="A155" s="5"/>
      <c r="B155" s="133" t="s">
        <v>304</v>
      </c>
      <c r="C155" s="226" t="s">
        <v>521</v>
      </c>
      <c r="D155" s="227"/>
      <c r="E155" s="227"/>
      <c r="F155" s="5" t="s">
        <v>6</v>
      </c>
      <c r="G155" s="5" t="s">
        <v>6</v>
      </c>
      <c r="H155" s="18" t="s">
        <v>6</v>
      </c>
      <c r="I155" s="35">
        <f>SUM(I156:I158)</f>
        <v>0</v>
      </c>
      <c r="J155" s="35">
        <f>SUM(J156:J158)</f>
        <v>0</v>
      </c>
      <c r="K155" s="35">
        <f>SUM(K156:K158)</f>
        <v>0</v>
      </c>
      <c r="L155" s="38">
        <f>IF(K264=0,0,K155/K264)</f>
        <v>0</v>
      </c>
      <c r="M155" s="28"/>
      <c r="AI155" s="28"/>
      <c r="AS155" s="35">
        <f>SUM(AJ156:AJ158)</f>
        <v>0</v>
      </c>
      <c r="AT155" s="35">
        <f>SUM(AK156:AK158)</f>
        <v>0</v>
      </c>
      <c r="AU155" s="35">
        <f>SUM(AL156:AL158)</f>
        <v>0</v>
      </c>
    </row>
    <row r="156" spans="1:62" x14ac:dyDescent="0.25">
      <c r="A156" s="137" t="s">
        <v>105</v>
      </c>
      <c r="B156" s="137" t="s">
        <v>305</v>
      </c>
      <c r="C156" s="223" t="s">
        <v>522</v>
      </c>
      <c r="D156" s="221"/>
      <c r="E156" s="224"/>
      <c r="F156" s="137" t="s">
        <v>625</v>
      </c>
      <c r="G156" s="92">
        <v>22.08</v>
      </c>
      <c r="H156" s="17">
        <v>0</v>
      </c>
      <c r="I156" s="93">
        <f>G156*AO156</f>
        <v>0</v>
      </c>
      <c r="J156" s="93">
        <f>G156*AP156</f>
        <v>0</v>
      </c>
      <c r="K156" s="93">
        <f>G156*H156</f>
        <v>0</v>
      </c>
      <c r="L156" s="94">
        <f>IF(K264=0,0,K156/K264)</f>
        <v>0</v>
      </c>
      <c r="M156" s="95" t="s">
        <v>657</v>
      </c>
      <c r="Z156" s="32">
        <f>IF(AQ156="5",BJ156,0)</f>
        <v>0</v>
      </c>
      <c r="AB156" s="32">
        <f>IF(AQ156="1",BH156,0)</f>
        <v>0</v>
      </c>
      <c r="AC156" s="32">
        <f>IF(AQ156="1",BI156,0)</f>
        <v>0</v>
      </c>
      <c r="AD156" s="32">
        <f>IF(AQ156="7",BH156,0)</f>
        <v>0</v>
      </c>
      <c r="AE156" s="32">
        <f>IF(AQ156="7",BI156,0)</f>
        <v>0</v>
      </c>
      <c r="AF156" s="32">
        <f>IF(AQ156="2",BH156,0)</f>
        <v>0</v>
      </c>
      <c r="AG156" s="32">
        <f>IF(AQ156="2",BI156,0)</f>
        <v>0</v>
      </c>
      <c r="AH156" s="32">
        <f>IF(AQ156="0",BJ156,0)</f>
        <v>0</v>
      </c>
      <c r="AI156" s="28"/>
      <c r="AJ156" s="12">
        <f>IF(AN156=0,K156,0)</f>
        <v>0</v>
      </c>
      <c r="AK156" s="12">
        <f>IF(AN156=15,K156,0)</f>
        <v>0</v>
      </c>
      <c r="AL156" s="12">
        <f>IF(AN156=21,K156,0)</f>
        <v>0</v>
      </c>
      <c r="AN156" s="32">
        <v>21</v>
      </c>
      <c r="AO156" s="32">
        <f>H156*0</f>
        <v>0</v>
      </c>
      <c r="AP156" s="32">
        <f>H156*(1-0)</f>
        <v>0</v>
      </c>
      <c r="AQ156" s="27" t="s">
        <v>13</v>
      </c>
      <c r="AV156" s="32">
        <f>AW156+AX156</f>
        <v>0</v>
      </c>
      <c r="AW156" s="32">
        <f>G156*AO156</f>
        <v>0</v>
      </c>
      <c r="AX156" s="32">
        <f>G156*AP156</f>
        <v>0</v>
      </c>
      <c r="AY156" s="33" t="s">
        <v>694</v>
      </c>
      <c r="AZ156" s="33" t="s">
        <v>718</v>
      </c>
      <c r="BA156" s="28" t="s">
        <v>721</v>
      </c>
      <c r="BC156" s="32">
        <f>AW156+AX156</f>
        <v>0</v>
      </c>
      <c r="BD156" s="32">
        <f>H156/(100-BE156)*100</f>
        <v>0</v>
      </c>
      <c r="BE156" s="32">
        <v>0</v>
      </c>
      <c r="BF156" s="32">
        <f>160</f>
        <v>160</v>
      </c>
      <c r="BH156" s="12">
        <f>G156*AO156</f>
        <v>0</v>
      </c>
      <c r="BI156" s="12">
        <f>G156*AP156</f>
        <v>0</v>
      </c>
      <c r="BJ156" s="12">
        <f>G156*H156</f>
        <v>0</v>
      </c>
    </row>
    <row r="157" spans="1:62" x14ac:dyDescent="0.25">
      <c r="A157" s="274"/>
      <c r="B157" s="274"/>
      <c r="C157" s="228" t="s">
        <v>523</v>
      </c>
      <c r="D157" s="229"/>
      <c r="E157" s="229"/>
      <c r="F157" s="274"/>
      <c r="G157" s="274"/>
      <c r="H157" s="107"/>
      <c r="I157" s="274"/>
      <c r="J157" s="274"/>
      <c r="K157" s="274"/>
      <c r="L157" s="274"/>
      <c r="M157" s="274"/>
    </row>
    <row r="158" spans="1:62" x14ac:dyDescent="0.25">
      <c r="A158" s="137" t="s">
        <v>106</v>
      </c>
      <c r="B158" s="137" t="s">
        <v>306</v>
      </c>
      <c r="C158" s="223" t="s">
        <v>524</v>
      </c>
      <c r="D158" s="221"/>
      <c r="E158" s="224"/>
      <c r="F158" s="137" t="s">
        <v>627</v>
      </c>
      <c r="G158" s="92">
        <v>2.1999999999999999E-2</v>
      </c>
      <c r="H158" s="17">
        <v>0</v>
      </c>
      <c r="I158" s="93">
        <f>G158*AO158</f>
        <v>0</v>
      </c>
      <c r="J158" s="93">
        <f>G158*AP158</f>
        <v>0</v>
      </c>
      <c r="K158" s="93">
        <f>G158*H158</f>
        <v>0</v>
      </c>
      <c r="L158" s="94">
        <f>IF(K264=0,0,K158/K264)</f>
        <v>0</v>
      </c>
      <c r="M158" s="95" t="s">
        <v>657</v>
      </c>
      <c r="Z158" s="32">
        <f>IF(AQ158="5",BJ158,0)</f>
        <v>0</v>
      </c>
      <c r="AB158" s="32">
        <f>IF(AQ158="1",BH158,0)</f>
        <v>0</v>
      </c>
      <c r="AC158" s="32">
        <f>IF(AQ158="1",BI158,0)</f>
        <v>0</v>
      </c>
      <c r="AD158" s="32">
        <f>IF(AQ158="7",BH158,0)</f>
        <v>0</v>
      </c>
      <c r="AE158" s="32">
        <f>IF(AQ158="7",BI158,0)</f>
        <v>0</v>
      </c>
      <c r="AF158" s="32">
        <f>IF(AQ158="2",BH158,0)</f>
        <v>0</v>
      </c>
      <c r="AG158" s="32">
        <f>IF(AQ158="2",BI158,0)</f>
        <v>0</v>
      </c>
      <c r="AH158" s="32">
        <f>IF(AQ158="0",BJ158,0)</f>
        <v>0</v>
      </c>
      <c r="AI158" s="28"/>
      <c r="AJ158" s="12">
        <f>IF(AN158=0,K158,0)</f>
        <v>0</v>
      </c>
      <c r="AK158" s="12">
        <f>IF(AN158=15,K158,0)</f>
        <v>0</v>
      </c>
      <c r="AL158" s="12">
        <f>IF(AN158=21,K158,0)</f>
        <v>0</v>
      </c>
      <c r="AN158" s="32">
        <v>21</v>
      </c>
      <c r="AO158" s="32">
        <f>H158*0</f>
        <v>0</v>
      </c>
      <c r="AP158" s="32">
        <f>H158*(1-0)</f>
        <v>0</v>
      </c>
      <c r="AQ158" s="27" t="s">
        <v>11</v>
      </c>
      <c r="AV158" s="32">
        <f>AW158+AX158</f>
        <v>0</v>
      </c>
      <c r="AW158" s="32">
        <f>G158*AO158</f>
        <v>0</v>
      </c>
      <c r="AX158" s="32">
        <f>G158*AP158</f>
        <v>0</v>
      </c>
      <c r="AY158" s="33" t="s">
        <v>694</v>
      </c>
      <c r="AZ158" s="33" t="s">
        <v>718</v>
      </c>
      <c r="BA158" s="28" t="s">
        <v>721</v>
      </c>
      <c r="BC158" s="32">
        <f>AW158+AX158</f>
        <v>0</v>
      </c>
      <c r="BD158" s="32">
        <f>H158/(100-BE158)*100</f>
        <v>0</v>
      </c>
      <c r="BE158" s="32">
        <v>0</v>
      </c>
      <c r="BF158" s="32">
        <f>162</f>
        <v>162</v>
      </c>
      <c r="BH158" s="12">
        <f>G158*AO158</f>
        <v>0</v>
      </c>
      <c r="BI158" s="12">
        <f>G158*AP158</f>
        <v>0</v>
      </c>
      <c r="BJ158" s="12">
        <f>G158*H158</f>
        <v>0</v>
      </c>
    </row>
    <row r="159" spans="1:62" x14ac:dyDescent="0.25">
      <c r="A159" s="5"/>
      <c r="B159" s="133" t="s">
        <v>307</v>
      </c>
      <c r="C159" s="226" t="s">
        <v>525</v>
      </c>
      <c r="D159" s="227"/>
      <c r="E159" s="227"/>
      <c r="F159" s="5" t="s">
        <v>6</v>
      </c>
      <c r="G159" s="5" t="s">
        <v>6</v>
      </c>
      <c r="H159" s="18" t="s">
        <v>6</v>
      </c>
      <c r="I159" s="35">
        <f>SUM(I160:I166)</f>
        <v>0</v>
      </c>
      <c r="J159" s="35">
        <f>SUM(J160:J166)</f>
        <v>0</v>
      </c>
      <c r="K159" s="35">
        <f>SUM(K160:K166)</f>
        <v>0</v>
      </c>
      <c r="L159" s="38">
        <f>IF(K264=0,0,K159/K264)</f>
        <v>0</v>
      </c>
      <c r="M159" s="28"/>
      <c r="AI159" s="28"/>
      <c r="AS159" s="35">
        <f>SUM(AJ160:AJ166)</f>
        <v>0</v>
      </c>
      <c r="AT159" s="35">
        <f>SUM(AK160:AK166)</f>
        <v>0</v>
      </c>
      <c r="AU159" s="35">
        <f>SUM(AL160:AL166)</f>
        <v>0</v>
      </c>
    </row>
    <row r="160" spans="1:62" x14ac:dyDescent="0.25">
      <c r="A160" s="134" t="s">
        <v>107</v>
      </c>
      <c r="B160" s="134" t="s">
        <v>308</v>
      </c>
      <c r="C160" s="235" t="s">
        <v>1140</v>
      </c>
      <c r="D160" s="231"/>
      <c r="E160" s="231"/>
      <c r="F160" s="134" t="s">
        <v>633</v>
      </c>
      <c r="G160" s="78">
        <v>38.101999999999997</v>
      </c>
      <c r="H160" s="20">
        <v>0</v>
      </c>
      <c r="I160" s="13">
        <f t="shared" ref="I160:I166" si="44">G160*AO160</f>
        <v>0</v>
      </c>
      <c r="J160" s="13">
        <f t="shared" ref="J160:J166" si="45">G160*AP160</f>
        <v>0</v>
      </c>
      <c r="K160" s="13">
        <f t="shared" ref="K160:K166" si="46">G160*H160</f>
        <v>0</v>
      </c>
      <c r="L160" s="39">
        <f>IF(K264=0,0,K160/K264)</f>
        <v>0</v>
      </c>
      <c r="M160" s="29" t="s">
        <v>657</v>
      </c>
      <c r="Z160" s="32">
        <f t="shared" ref="Z160:Z166" si="47">IF(AQ160="5",BJ160,0)</f>
        <v>0</v>
      </c>
      <c r="AB160" s="32">
        <f t="shared" ref="AB160:AB166" si="48">IF(AQ160="1",BH160,0)</f>
        <v>0</v>
      </c>
      <c r="AC160" s="32">
        <f t="shared" ref="AC160:AC166" si="49">IF(AQ160="1",BI160,0)</f>
        <v>0</v>
      </c>
      <c r="AD160" s="32">
        <f t="shared" ref="AD160:AD166" si="50">IF(AQ160="7",BH160,0)</f>
        <v>0</v>
      </c>
      <c r="AE160" s="32">
        <f t="shared" ref="AE160:AE166" si="51">IF(AQ160="7",BI160,0)</f>
        <v>0</v>
      </c>
      <c r="AF160" s="32">
        <f t="shared" ref="AF160:AF166" si="52">IF(AQ160="2",BH160,0)</f>
        <v>0</v>
      </c>
      <c r="AG160" s="32">
        <f t="shared" ref="AG160:AG166" si="53">IF(AQ160="2",BI160,0)</f>
        <v>0</v>
      </c>
      <c r="AH160" s="32">
        <f t="shared" ref="AH160:AH166" si="54">IF(AQ160="0",BJ160,0)</f>
        <v>0</v>
      </c>
      <c r="AI160" s="28"/>
      <c r="AJ160" s="13">
        <f t="shared" ref="AJ160:AJ166" si="55">IF(AN160=0,K160,0)</f>
        <v>0</v>
      </c>
      <c r="AK160" s="13">
        <f t="shared" ref="AK160:AK166" si="56">IF(AN160=15,K160,0)</f>
        <v>0</v>
      </c>
      <c r="AL160" s="13">
        <f t="shared" ref="AL160:AL166" si="57">IF(AN160=21,K160,0)</f>
        <v>0</v>
      </c>
      <c r="AN160" s="32">
        <v>21</v>
      </c>
      <c r="AO160" s="32">
        <f>H160*1</f>
        <v>0</v>
      </c>
      <c r="AP160" s="32">
        <f>H160*(1-1)</f>
        <v>0</v>
      </c>
      <c r="AQ160" s="29" t="s">
        <v>13</v>
      </c>
      <c r="AV160" s="32">
        <f t="shared" ref="AV160:AV166" si="58">AW160+AX160</f>
        <v>0</v>
      </c>
      <c r="AW160" s="32">
        <f t="shared" ref="AW160:AW166" si="59">G160*AO160</f>
        <v>0</v>
      </c>
      <c r="AX160" s="32">
        <f t="shared" ref="AX160:AX166" si="60">G160*AP160</f>
        <v>0</v>
      </c>
      <c r="AY160" s="33" t="s">
        <v>695</v>
      </c>
      <c r="AZ160" s="33" t="s">
        <v>718</v>
      </c>
      <c r="BA160" s="28" t="s">
        <v>721</v>
      </c>
      <c r="BC160" s="32">
        <f t="shared" ref="BC160:BC166" si="61">AW160+AX160</f>
        <v>0</v>
      </c>
      <c r="BD160" s="32">
        <f t="shared" ref="BD160:BD166" si="62">H160/(100-BE160)*100</f>
        <v>0</v>
      </c>
      <c r="BE160" s="32">
        <v>0</v>
      </c>
      <c r="BF160" s="32">
        <f>164</f>
        <v>164</v>
      </c>
      <c r="BH160" s="13">
        <f t="shared" ref="BH160:BH166" si="63">G160*AO160</f>
        <v>0</v>
      </c>
      <c r="BI160" s="13">
        <f t="shared" ref="BI160:BI166" si="64">G160*AP160</f>
        <v>0</v>
      </c>
      <c r="BJ160" s="13">
        <f t="shared" ref="BJ160:BJ166" si="65">G160*H160</f>
        <v>0</v>
      </c>
    </row>
    <row r="161" spans="1:62" x14ac:dyDescent="0.25">
      <c r="A161" s="137" t="s">
        <v>108</v>
      </c>
      <c r="B161" s="137" t="s">
        <v>309</v>
      </c>
      <c r="C161" s="223" t="s">
        <v>526</v>
      </c>
      <c r="D161" s="221"/>
      <c r="E161" s="224"/>
      <c r="F161" s="137" t="s">
        <v>625</v>
      </c>
      <c r="G161" s="92">
        <v>55.22</v>
      </c>
      <c r="H161" s="17">
        <v>0</v>
      </c>
      <c r="I161" s="93">
        <f t="shared" si="44"/>
        <v>0</v>
      </c>
      <c r="J161" s="93">
        <f t="shared" si="45"/>
        <v>0</v>
      </c>
      <c r="K161" s="93">
        <f t="shared" si="46"/>
        <v>0</v>
      </c>
      <c r="L161" s="94">
        <f>IF(K264=0,0,K161/K264)</f>
        <v>0</v>
      </c>
      <c r="M161" s="95" t="s">
        <v>657</v>
      </c>
      <c r="Z161" s="32">
        <f t="shared" si="47"/>
        <v>0</v>
      </c>
      <c r="AB161" s="32">
        <f t="shared" si="48"/>
        <v>0</v>
      </c>
      <c r="AC161" s="32">
        <f t="shared" si="49"/>
        <v>0</v>
      </c>
      <c r="AD161" s="32">
        <f t="shared" si="50"/>
        <v>0</v>
      </c>
      <c r="AE161" s="32">
        <f t="shared" si="51"/>
        <v>0</v>
      </c>
      <c r="AF161" s="32">
        <f t="shared" si="52"/>
        <v>0</v>
      </c>
      <c r="AG161" s="32">
        <f t="shared" si="53"/>
        <v>0</v>
      </c>
      <c r="AH161" s="32">
        <f t="shared" si="54"/>
        <v>0</v>
      </c>
      <c r="AI161" s="28"/>
      <c r="AJ161" s="12">
        <f t="shared" si="55"/>
        <v>0</v>
      </c>
      <c r="AK161" s="12">
        <f t="shared" si="56"/>
        <v>0</v>
      </c>
      <c r="AL161" s="12">
        <f t="shared" si="57"/>
        <v>0</v>
      </c>
      <c r="AN161" s="32">
        <v>21</v>
      </c>
      <c r="AO161" s="32">
        <f>H161*0</f>
        <v>0</v>
      </c>
      <c r="AP161" s="32">
        <f>H161*(1-0)</f>
        <v>0</v>
      </c>
      <c r="AQ161" s="27" t="s">
        <v>13</v>
      </c>
      <c r="AV161" s="32">
        <f t="shared" si="58"/>
        <v>0</v>
      </c>
      <c r="AW161" s="32">
        <f t="shared" si="59"/>
        <v>0</v>
      </c>
      <c r="AX161" s="32">
        <f t="shared" si="60"/>
        <v>0</v>
      </c>
      <c r="AY161" s="33" t="s">
        <v>695</v>
      </c>
      <c r="AZ161" s="33" t="s">
        <v>718</v>
      </c>
      <c r="BA161" s="28" t="s">
        <v>721</v>
      </c>
      <c r="BC161" s="32">
        <f t="shared" si="61"/>
        <v>0</v>
      </c>
      <c r="BD161" s="32">
        <f t="shared" si="62"/>
        <v>0</v>
      </c>
      <c r="BE161" s="32">
        <v>0</v>
      </c>
      <c r="BF161" s="32">
        <f>165</f>
        <v>165</v>
      </c>
      <c r="BH161" s="12">
        <f t="shared" si="63"/>
        <v>0</v>
      </c>
      <c r="BI161" s="12">
        <f t="shared" si="64"/>
        <v>0</v>
      </c>
      <c r="BJ161" s="12">
        <f t="shared" si="65"/>
        <v>0</v>
      </c>
    </row>
    <row r="162" spans="1:62" x14ac:dyDescent="0.25">
      <c r="A162" s="134" t="s">
        <v>109</v>
      </c>
      <c r="B162" s="134" t="s">
        <v>310</v>
      </c>
      <c r="C162" s="279" t="s">
        <v>1139</v>
      </c>
      <c r="D162" s="231"/>
      <c r="E162" s="231"/>
      <c r="F162" s="134" t="s">
        <v>633</v>
      </c>
      <c r="G162" s="78">
        <v>438.17099999999999</v>
      </c>
      <c r="H162" s="20">
        <v>0</v>
      </c>
      <c r="I162" s="13">
        <f t="shared" si="44"/>
        <v>0</v>
      </c>
      <c r="J162" s="13">
        <f t="shared" si="45"/>
        <v>0</v>
      </c>
      <c r="K162" s="13">
        <f t="shared" si="46"/>
        <v>0</v>
      </c>
      <c r="L162" s="39">
        <f>IF(K264=0,0,K162/K264)</f>
        <v>0</v>
      </c>
      <c r="M162" s="29" t="s">
        <v>657</v>
      </c>
      <c r="Z162" s="32">
        <f t="shared" si="47"/>
        <v>0</v>
      </c>
      <c r="AB162" s="32">
        <f t="shared" si="48"/>
        <v>0</v>
      </c>
      <c r="AC162" s="32">
        <f t="shared" si="49"/>
        <v>0</v>
      </c>
      <c r="AD162" s="32">
        <f t="shared" si="50"/>
        <v>0</v>
      </c>
      <c r="AE162" s="32">
        <f t="shared" si="51"/>
        <v>0</v>
      </c>
      <c r="AF162" s="32">
        <f t="shared" si="52"/>
        <v>0</v>
      </c>
      <c r="AG162" s="32">
        <f t="shared" si="53"/>
        <v>0</v>
      </c>
      <c r="AH162" s="32">
        <f t="shared" si="54"/>
        <v>0</v>
      </c>
      <c r="AI162" s="28"/>
      <c r="AJ162" s="13">
        <f t="shared" si="55"/>
        <v>0</v>
      </c>
      <c r="AK162" s="13">
        <f t="shared" si="56"/>
        <v>0</v>
      </c>
      <c r="AL162" s="13">
        <f t="shared" si="57"/>
        <v>0</v>
      </c>
      <c r="AN162" s="32">
        <v>21</v>
      </c>
      <c r="AO162" s="32">
        <f>H162*1</f>
        <v>0</v>
      </c>
      <c r="AP162" s="32">
        <f>H162*(1-1)</f>
        <v>0</v>
      </c>
      <c r="AQ162" s="29" t="s">
        <v>13</v>
      </c>
      <c r="AV162" s="32">
        <f t="shared" si="58"/>
        <v>0</v>
      </c>
      <c r="AW162" s="32">
        <f t="shared" si="59"/>
        <v>0</v>
      </c>
      <c r="AX162" s="32">
        <f t="shared" si="60"/>
        <v>0</v>
      </c>
      <c r="AY162" s="33" t="s">
        <v>695</v>
      </c>
      <c r="AZ162" s="33" t="s">
        <v>718</v>
      </c>
      <c r="BA162" s="28" t="s">
        <v>721</v>
      </c>
      <c r="BC162" s="32">
        <f t="shared" si="61"/>
        <v>0</v>
      </c>
      <c r="BD162" s="32">
        <f t="shared" si="62"/>
        <v>0</v>
      </c>
      <c r="BE162" s="32">
        <v>0</v>
      </c>
      <c r="BF162" s="32">
        <f>166</f>
        <v>166</v>
      </c>
      <c r="BH162" s="13">
        <f t="shared" si="63"/>
        <v>0</v>
      </c>
      <c r="BI162" s="13">
        <f t="shared" si="64"/>
        <v>0</v>
      </c>
      <c r="BJ162" s="13">
        <f t="shared" si="65"/>
        <v>0</v>
      </c>
    </row>
    <row r="163" spans="1:62" x14ac:dyDescent="0.25">
      <c r="A163" s="136" t="s">
        <v>110</v>
      </c>
      <c r="B163" s="136" t="s">
        <v>311</v>
      </c>
      <c r="C163" s="220" t="s">
        <v>527</v>
      </c>
      <c r="D163" s="221"/>
      <c r="E163" s="222"/>
      <c r="F163" s="136" t="s">
        <v>625</v>
      </c>
      <c r="G163" s="88">
        <v>55.22</v>
      </c>
      <c r="H163" s="17">
        <v>0</v>
      </c>
      <c r="I163" s="89">
        <f t="shared" si="44"/>
        <v>0</v>
      </c>
      <c r="J163" s="89">
        <f t="shared" si="45"/>
        <v>0</v>
      </c>
      <c r="K163" s="89">
        <f t="shared" si="46"/>
        <v>0</v>
      </c>
      <c r="L163" s="90">
        <f>IF(K264=0,0,K163/K264)</f>
        <v>0</v>
      </c>
      <c r="M163" s="91" t="s">
        <v>657</v>
      </c>
      <c r="Z163" s="32">
        <f t="shared" si="47"/>
        <v>0</v>
      </c>
      <c r="AB163" s="32">
        <f t="shared" si="48"/>
        <v>0</v>
      </c>
      <c r="AC163" s="32">
        <f t="shared" si="49"/>
        <v>0</v>
      </c>
      <c r="AD163" s="32">
        <f t="shared" si="50"/>
        <v>0</v>
      </c>
      <c r="AE163" s="32">
        <f t="shared" si="51"/>
        <v>0</v>
      </c>
      <c r="AF163" s="32">
        <f t="shared" si="52"/>
        <v>0</v>
      </c>
      <c r="AG163" s="32">
        <f t="shared" si="53"/>
        <v>0</v>
      </c>
      <c r="AH163" s="32">
        <f t="shared" si="54"/>
        <v>0</v>
      </c>
      <c r="AI163" s="28"/>
      <c r="AJ163" s="12">
        <f t="shared" si="55"/>
        <v>0</v>
      </c>
      <c r="AK163" s="12">
        <f t="shared" si="56"/>
        <v>0</v>
      </c>
      <c r="AL163" s="12">
        <f t="shared" si="57"/>
        <v>0</v>
      </c>
      <c r="AN163" s="32">
        <v>21</v>
      </c>
      <c r="AO163" s="32">
        <f>H163*0</f>
        <v>0</v>
      </c>
      <c r="AP163" s="32">
        <f>H163*(1-0)</f>
        <v>0</v>
      </c>
      <c r="AQ163" s="27" t="s">
        <v>13</v>
      </c>
      <c r="AV163" s="32">
        <f t="shared" si="58"/>
        <v>0</v>
      </c>
      <c r="AW163" s="32">
        <f t="shared" si="59"/>
        <v>0</v>
      </c>
      <c r="AX163" s="32">
        <f t="shared" si="60"/>
        <v>0</v>
      </c>
      <c r="AY163" s="33" t="s">
        <v>695</v>
      </c>
      <c r="AZ163" s="33" t="s">
        <v>718</v>
      </c>
      <c r="BA163" s="28" t="s">
        <v>721</v>
      </c>
      <c r="BC163" s="32">
        <f t="shared" si="61"/>
        <v>0</v>
      </c>
      <c r="BD163" s="32">
        <f t="shared" si="62"/>
        <v>0</v>
      </c>
      <c r="BE163" s="32">
        <v>0</v>
      </c>
      <c r="BF163" s="32">
        <f>167</f>
        <v>167</v>
      </c>
      <c r="BH163" s="12">
        <f t="shared" si="63"/>
        <v>0</v>
      </c>
      <c r="BI163" s="12">
        <f t="shared" si="64"/>
        <v>0</v>
      </c>
      <c r="BJ163" s="12">
        <f t="shared" si="65"/>
        <v>0</v>
      </c>
    </row>
    <row r="164" spans="1:62" x14ac:dyDescent="0.25">
      <c r="A164" s="102" t="s">
        <v>111</v>
      </c>
      <c r="B164" s="102" t="s">
        <v>312</v>
      </c>
      <c r="C164" s="233" t="s">
        <v>1141</v>
      </c>
      <c r="D164" s="231"/>
      <c r="E164" s="234"/>
      <c r="F164" s="102" t="s">
        <v>633</v>
      </c>
      <c r="G164" s="103">
        <v>181.233</v>
      </c>
      <c r="H164" s="20">
        <v>0</v>
      </c>
      <c r="I164" s="104">
        <f t="shared" si="44"/>
        <v>0</v>
      </c>
      <c r="J164" s="104">
        <f t="shared" si="45"/>
        <v>0</v>
      </c>
      <c r="K164" s="104">
        <f t="shared" si="46"/>
        <v>0</v>
      </c>
      <c r="L164" s="105">
        <f>IF(K264=0,0,K164/K264)</f>
        <v>0</v>
      </c>
      <c r="M164" s="106" t="s">
        <v>657</v>
      </c>
      <c r="Z164" s="32">
        <f t="shared" si="47"/>
        <v>0</v>
      </c>
      <c r="AB164" s="32">
        <f t="shared" si="48"/>
        <v>0</v>
      </c>
      <c r="AC164" s="32">
        <f t="shared" si="49"/>
        <v>0</v>
      </c>
      <c r="AD164" s="32">
        <f t="shared" si="50"/>
        <v>0</v>
      </c>
      <c r="AE164" s="32">
        <f t="shared" si="51"/>
        <v>0</v>
      </c>
      <c r="AF164" s="32">
        <f t="shared" si="52"/>
        <v>0</v>
      </c>
      <c r="AG164" s="32">
        <f t="shared" si="53"/>
        <v>0</v>
      </c>
      <c r="AH164" s="32">
        <f t="shared" si="54"/>
        <v>0</v>
      </c>
      <c r="AI164" s="28"/>
      <c r="AJ164" s="13">
        <f t="shared" si="55"/>
        <v>0</v>
      </c>
      <c r="AK164" s="13">
        <f t="shared" si="56"/>
        <v>0</v>
      </c>
      <c r="AL164" s="13">
        <f t="shared" si="57"/>
        <v>0</v>
      </c>
      <c r="AN164" s="32">
        <v>21</v>
      </c>
      <c r="AO164" s="32">
        <f>H164*1</f>
        <v>0</v>
      </c>
      <c r="AP164" s="32">
        <f>H164*(1-1)</f>
        <v>0</v>
      </c>
      <c r="AQ164" s="29" t="s">
        <v>13</v>
      </c>
      <c r="AV164" s="32">
        <f t="shared" si="58"/>
        <v>0</v>
      </c>
      <c r="AW164" s="32">
        <f t="shared" si="59"/>
        <v>0</v>
      </c>
      <c r="AX164" s="32">
        <f t="shared" si="60"/>
        <v>0</v>
      </c>
      <c r="AY164" s="33" t="s">
        <v>695</v>
      </c>
      <c r="AZ164" s="33" t="s">
        <v>718</v>
      </c>
      <c r="BA164" s="28" t="s">
        <v>721</v>
      </c>
      <c r="BC164" s="32">
        <f t="shared" si="61"/>
        <v>0</v>
      </c>
      <c r="BD164" s="32">
        <f t="shared" si="62"/>
        <v>0</v>
      </c>
      <c r="BE164" s="32">
        <v>0</v>
      </c>
      <c r="BF164" s="32">
        <f>168</f>
        <v>168</v>
      </c>
      <c r="BH164" s="13">
        <f t="shared" si="63"/>
        <v>0</v>
      </c>
      <c r="BI164" s="13">
        <f t="shared" si="64"/>
        <v>0</v>
      </c>
      <c r="BJ164" s="13">
        <f t="shared" si="65"/>
        <v>0</v>
      </c>
    </row>
    <row r="165" spans="1:62" x14ac:dyDescent="0.25">
      <c r="A165" s="136" t="s">
        <v>112</v>
      </c>
      <c r="B165" s="136" t="s">
        <v>313</v>
      </c>
      <c r="C165" s="220" t="s">
        <v>528</v>
      </c>
      <c r="D165" s="221"/>
      <c r="E165" s="222"/>
      <c r="F165" s="136" t="s">
        <v>625</v>
      </c>
      <c r="G165" s="88">
        <v>55.22</v>
      </c>
      <c r="H165" s="17">
        <v>0</v>
      </c>
      <c r="I165" s="89">
        <f t="shared" si="44"/>
        <v>0</v>
      </c>
      <c r="J165" s="89">
        <f t="shared" si="45"/>
        <v>0</v>
      </c>
      <c r="K165" s="89">
        <f t="shared" si="46"/>
        <v>0</v>
      </c>
      <c r="L165" s="90">
        <f>IF(K264=0,0,K165/K264)</f>
        <v>0</v>
      </c>
      <c r="M165" s="91" t="s">
        <v>657</v>
      </c>
      <c r="Z165" s="32">
        <f t="shared" si="47"/>
        <v>0</v>
      </c>
      <c r="AB165" s="32">
        <f t="shared" si="48"/>
        <v>0</v>
      </c>
      <c r="AC165" s="32">
        <f t="shared" si="49"/>
        <v>0</v>
      </c>
      <c r="AD165" s="32">
        <f t="shared" si="50"/>
        <v>0</v>
      </c>
      <c r="AE165" s="32">
        <f t="shared" si="51"/>
        <v>0</v>
      </c>
      <c r="AF165" s="32">
        <f t="shared" si="52"/>
        <v>0</v>
      </c>
      <c r="AG165" s="32">
        <f t="shared" si="53"/>
        <v>0</v>
      </c>
      <c r="AH165" s="32">
        <f t="shared" si="54"/>
        <v>0</v>
      </c>
      <c r="AI165" s="28"/>
      <c r="AJ165" s="12">
        <f t="shared" si="55"/>
        <v>0</v>
      </c>
      <c r="AK165" s="12">
        <f t="shared" si="56"/>
        <v>0</v>
      </c>
      <c r="AL165" s="12">
        <f t="shared" si="57"/>
        <v>0</v>
      </c>
      <c r="AN165" s="32">
        <v>21</v>
      </c>
      <c r="AO165" s="32">
        <f>H165*0</f>
        <v>0</v>
      </c>
      <c r="AP165" s="32">
        <f>H165*(1-0)</f>
        <v>0</v>
      </c>
      <c r="AQ165" s="27" t="s">
        <v>13</v>
      </c>
      <c r="AV165" s="32">
        <f t="shared" si="58"/>
        <v>0</v>
      </c>
      <c r="AW165" s="32">
        <f t="shared" si="59"/>
        <v>0</v>
      </c>
      <c r="AX165" s="32">
        <f t="shared" si="60"/>
        <v>0</v>
      </c>
      <c r="AY165" s="33" t="s">
        <v>695</v>
      </c>
      <c r="AZ165" s="33" t="s">
        <v>718</v>
      </c>
      <c r="BA165" s="28" t="s">
        <v>721</v>
      </c>
      <c r="BC165" s="32">
        <f t="shared" si="61"/>
        <v>0</v>
      </c>
      <c r="BD165" s="32">
        <f t="shared" si="62"/>
        <v>0</v>
      </c>
      <c r="BE165" s="32">
        <v>0</v>
      </c>
      <c r="BF165" s="32">
        <f>169</f>
        <v>169</v>
      </c>
      <c r="BH165" s="12">
        <f t="shared" si="63"/>
        <v>0</v>
      </c>
      <c r="BI165" s="12">
        <f t="shared" si="64"/>
        <v>0</v>
      </c>
      <c r="BJ165" s="12">
        <f t="shared" si="65"/>
        <v>0</v>
      </c>
    </row>
    <row r="166" spans="1:62" x14ac:dyDescent="0.25">
      <c r="A166" s="137" t="s">
        <v>113</v>
      </c>
      <c r="B166" s="137" t="s">
        <v>314</v>
      </c>
      <c r="C166" s="223" t="s">
        <v>529</v>
      </c>
      <c r="D166" s="221"/>
      <c r="E166" s="224"/>
      <c r="F166" s="137" t="s">
        <v>627</v>
      </c>
      <c r="G166" s="92">
        <v>0.65800000000000003</v>
      </c>
      <c r="H166" s="17">
        <v>0</v>
      </c>
      <c r="I166" s="93">
        <f t="shared" si="44"/>
        <v>0</v>
      </c>
      <c r="J166" s="93">
        <f t="shared" si="45"/>
        <v>0</v>
      </c>
      <c r="K166" s="93">
        <f t="shared" si="46"/>
        <v>0</v>
      </c>
      <c r="L166" s="94">
        <f>IF(K264=0,0,K166/K264)</f>
        <v>0</v>
      </c>
      <c r="M166" s="95" t="s">
        <v>657</v>
      </c>
      <c r="Z166" s="32">
        <f t="shared" si="47"/>
        <v>0</v>
      </c>
      <c r="AB166" s="32">
        <f t="shared" si="48"/>
        <v>0</v>
      </c>
      <c r="AC166" s="32">
        <f t="shared" si="49"/>
        <v>0</v>
      </c>
      <c r="AD166" s="32">
        <f t="shared" si="50"/>
        <v>0</v>
      </c>
      <c r="AE166" s="32">
        <f t="shared" si="51"/>
        <v>0</v>
      </c>
      <c r="AF166" s="32">
        <f t="shared" si="52"/>
        <v>0</v>
      </c>
      <c r="AG166" s="32">
        <f t="shared" si="53"/>
        <v>0</v>
      </c>
      <c r="AH166" s="32">
        <f t="shared" si="54"/>
        <v>0</v>
      </c>
      <c r="AI166" s="28"/>
      <c r="AJ166" s="12">
        <f t="shared" si="55"/>
        <v>0</v>
      </c>
      <c r="AK166" s="12">
        <f t="shared" si="56"/>
        <v>0</v>
      </c>
      <c r="AL166" s="12">
        <f t="shared" si="57"/>
        <v>0</v>
      </c>
      <c r="AN166" s="32">
        <v>21</v>
      </c>
      <c r="AO166" s="32">
        <f>H166*0</f>
        <v>0</v>
      </c>
      <c r="AP166" s="32">
        <f>H166*(1-0)</f>
        <v>0</v>
      </c>
      <c r="AQ166" s="27" t="s">
        <v>11</v>
      </c>
      <c r="AV166" s="32">
        <f t="shared" si="58"/>
        <v>0</v>
      </c>
      <c r="AW166" s="32">
        <f t="shared" si="59"/>
        <v>0</v>
      </c>
      <c r="AX166" s="32">
        <f t="shared" si="60"/>
        <v>0</v>
      </c>
      <c r="AY166" s="33" t="s">
        <v>695</v>
      </c>
      <c r="AZ166" s="33" t="s">
        <v>718</v>
      </c>
      <c r="BA166" s="28" t="s">
        <v>721</v>
      </c>
      <c r="BC166" s="32">
        <f t="shared" si="61"/>
        <v>0</v>
      </c>
      <c r="BD166" s="32">
        <f t="shared" si="62"/>
        <v>0</v>
      </c>
      <c r="BE166" s="32">
        <v>0</v>
      </c>
      <c r="BF166" s="32">
        <f>170</f>
        <v>170</v>
      </c>
      <c r="BH166" s="12">
        <f t="shared" si="63"/>
        <v>0</v>
      </c>
      <c r="BI166" s="12">
        <f t="shared" si="64"/>
        <v>0</v>
      </c>
      <c r="BJ166" s="12">
        <f t="shared" si="65"/>
        <v>0</v>
      </c>
    </row>
    <row r="167" spans="1:62" x14ac:dyDescent="0.25">
      <c r="A167" s="5"/>
      <c r="B167" s="133" t="s">
        <v>315</v>
      </c>
      <c r="C167" s="226" t="s">
        <v>530</v>
      </c>
      <c r="D167" s="227"/>
      <c r="E167" s="227"/>
      <c r="F167" s="5" t="s">
        <v>6</v>
      </c>
      <c r="G167" s="5" t="s">
        <v>6</v>
      </c>
      <c r="H167" s="18" t="s">
        <v>6</v>
      </c>
      <c r="I167" s="35">
        <f>SUM(I168:I170)</f>
        <v>0</v>
      </c>
      <c r="J167" s="35">
        <f>SUM(J168:J170)</f>
        <v>0</v>
      </c>
      <c r="K167" s="35">
        <f>SUM(K168:K170)</f>
        <v>0</v>
      </c>
      <c r="L167" s="38">
        <f>IF(K264=0,0,K167/K264)</f>
        <v>0</v>
      </c>
      <c r="M167" s="28"/>
      <c r="AI167" s="28"/>
      <c r="AS167" s="35">
        <f>SUM(AJ168:AJ170)</f>
        <v>0</v>
      </c>
      <c r="AT167" s="35">
        <f>SUM(AK168:AK170)</f>
        <v>0</v>
      </c>
      <c r="AU167" s="35">
        <f>SUM(AL168:AL170)</f>
        <v>0</v>
      </c>
    </row>
    <row r="168" spans="1:62" x14ac:dyDescent="0.25">
      <c r="A168" s="132" t="s">
        <v>114</v>
      </c>
      <c r="B168" s="132" t="s">
        <v>316</v>
      </c>
      <c r="C168" s="225" t="s">
        <v>531</v>
      </c>
      <c r="D168" s="221"/>
      <c r="E168" s="221"/>
      <c r="F168" s="132" t="s">
        <v>625</v>
      </c>
      <c r="G168" s="77">
        <v>294.24700000000001</v>
      </c>
      <c r="H168" s="17">
        <v>0</v>
      </c>
      <c r="I168" s="12">
        <f>G168*AO168</f>
        <v>0</v>
      </c>
      <c r="J168" s="12">
        <f>G168*AP168</f>
        <v>0</v>
      </c>
      <c r="K168" s="12">
        <f>G168*H168</f>
        <v>0</v>
      </c>
      <c r="L168" s="37">
        <f>IF(K264=0,0,K168/K264)</f>
        <v>0</v>
      </c>
      <c r="M168" s="27" t="s">
        <v>657</v>
      </c>
      <c r="Z168" s="32">
        <f>IF(AQ168="5",BJ168,0)</f>
        <v>0</v>
      </c>
      <c r="AB168" s="32">
        <f>IF(AQ168="1",BH168,0)</f>
        <v>0</v>
      </c>
      <c r="AC168" s="32">
        <f>IF(AQ168="1",BI168,0)</f>
        <v>0</v>
      </c>
      <c r="AD168" s="32">
        <f>IF(AQ168="7",BH168,0)</f>
        <v>0</v>
      </c>
      <c r="AE168" s="32">
        <f>IF(AQ168="7",BI168,0)</f>
        <v>0</v>
      </c>
      <c r="AF168" s="32">
        <f>IF(AQ168="2",BH168,0)</f>
        <v>0</v>
      </c>
      <c r="AG168" s="32">
        <f>IF(AQ168="2",BI168,0)</f>
        <v>0</v>
      </c>
      <c r="AH168" s="32">
        <f>IF(AQ168="0",BJ168,0)</f>
        <v>0</v>
      </c>
      <c r="AI168" s="28"/>
      <c r="AJ168" s="12">
        <f>IF(AN168=0,K168,0)</f>
        <v>0</v>
      </c>
      <c r="AK168" s="12">
        <f>IF(AN168=15,K168,0)</f>
        <v>0</v>
      </c>
      <c r="AL168" s="12">
        <f>IF(AN168=21,K168,0)</f>
        <v>0</v>
      </c>
      <c r="AN168" s="32">
        <v>21</v>
      </c>
      <c r="AO168" s="32">
        <f>H168*0.239961471442019</f>
        <v>0</v>
      </c>
      <c r="AP168" s="32">
        <f>H168*(1-0.239961471442019)</f>
        <v>0</v>
      </c>
      <c r="AQ168" s="27" t="s">
        <v>13</v>
      </c>
      <c r="AV168" s="32">
        <f>AW168+AX168</f>
        <v>0</v>
      </c>
      <c r="AW168" s="32">
        <f>G168*AO168</f>
        <v>0</v>
      </c>
      <c r="AX168" s="32">
        <f>G168*AP168</f>
        <v>0</v>
      </c>
      <c r="AY168" s="33" t="s">
        <v>696</v>
      </c>
      <c r="AZ168" s="33" t="s">
        <v>719</v>
      </c>
      <c r="BA168" s="28" t="s">
        <v>721</v>
      </c>
      <c r="BC168" s="32">
        <f>AW168+AX168</f>
        <v>0</v>
      </c>
      <c r="BD168" s="32">
        <f>H168/(100-BE168)*100</f>
        <v>0</v>
      </c>
      <c r="BE168" s="32">
        <v>0</v>
      </c>
      <c r="BF168" s="32">
        <f>172</f>
        <v>172</v>
      </c>
      <c r="BH168" s="12">
        <f>G168*AO168</f>
        <v>0</v>
      </c>
      <c r="BI168" s="12">
        <f>G168*AP168</f>
        <v>0</v>
      </c>
      <c r="BJ168" s="12">
        <f>G168*H168</f>
        <v>0</v>
      </c>
    </row>
    <row r="169" spans="1:62" x14ac:dyDescent="0.25">
      <c r="A169" s="132" t="s">
        <v>115</v>
      </c>
      <c r="B169" s="132" t="s">
        <v>317</v>
      </c>
      <c r="C169" s="225" t="s">
        <v>532</v>
      </c>
      <c r="D169" s="221"/>
      <c r="E169" s="221"/>
      <c r="F169" s="132" t="s">
        <v>625</v>
      </c>
      <c r="G169" s="77">
        <v>141.523</v>
      </c>
      <c r="H169" s="17">
        <v>0</v>
      </c>
      <c r="I169" s="12">
        <f>G169*AO169</f>
        <v>0</v>
      </c>
      <c r="J169" s="12">
        <f>G169*AP169</f>
        <v>0</v>
      </c>
      <c r="K169" s="12">
        <f>G169*H169</f>
        <v>0</v>
      </c>
      <c r="L169" s="37">
        <f>IF(K264=0,0,K169/K264)</f>
        <v>0</v>
      </c>
      <c r="M169" s="27" t="s">
        <v>657</v>
      </c>
      <c r="Z169" s="32">
        <f>IF(AQ169="5",BJ169,0)</f>
        <v>0</v>
      </c>
      <c r="AB169" s="32">
        <f>IF(AQ169="1",BH169,0)</f>
        <v>0</v>
      </c>
      <c r="AC169" s="32">
        <f>IF(AQ169="1",BI169,0)</f>
        <v>0</v>
      </c>
      <c r="AD169" s="32">
        <f>IF(AQ169="7",BH169,0)</f>
        <v>0</v>
      </c>
      <c r="AE169" s="32">
        <f>IF(AQ169="7",BI169,0)</f>
        <v>0</v>
      </c>
      <c r="AF169" s="32">
        <f>IF(AQ169="2",BH169,0)</f>
        <v>0</v>
      </c>
      <c r="AG169" s="32">
        <f>IF(AQ169="2",BI169,0)</f>
        <v>0</v>
      </c>
      <c r="AH169" s="32">
        <f>IF(AQ169="0",BJ169,0)</f>
        <v>0</v>
      </c>
      <c r="AI169" s="28"/>
      <c r="AJ169" s="12">
        <f>IF(AN169=0,K169,0)</f>
        <v>0</v>
      </c>
      <c r="AK169" s="12">
        <f>IF(AN169=15,K169,0)</f>
        <v>0</v>
      </c>
      <c r="AL169" s="12">
        <f>IF(AN169=21,K169,0)</f>
        <v>0</v>
      </c>
      <c r="AN169" s="32">
        <v>21</v>
      </c>
      <c r="AO169" s="32">
        <f>H169*0.0416971266915235</f>
        <v>0</v>
      </c>
      <c r="AP169" s="32">
        <f>H169*(1-0.0416971266915235)</f>
        <v>0</v>
      </c>
      <c r="AQ169" s="27" t="s">
        <v>13</v>
      </c>
      <c r="AV169" s="32">
        <f>AW169+AX169</f>
        <v>0</v>
      </c>
      <c r="AW169" s="32">
        <f>G169*AO169</f>
        <v>0</v>
      </c>
      <c r="AX169" s="32">
        <f>G169*AP169</f>
        <v>0</v>
      </c>
      <c r="AY169" s="33" t="s">
        <v>696</v>
      </c>
      <c r="AZ169" s="33" t="s">
        <v>719</v>
      </c>
      <c r="BA169" s="28" t="s">
        <v>721</v>
      </c>
      <c r="BC169" s="32">
        <f>AW169+AX169</f>
        <v>0</v>
      </c>
      <c r="BD169" s="32">
        <f>H169/(100-BE169)*100</f>
        <v>0</v>
      </c>
      <c r="BE169" s="32">
        <v>0</v>
      </c>
      <c r="BF169" s="32">
        <f>173</f>
        <v>173</v>
      </c>
      <c r="BH169" s="12">
        <f>G169*AO169</f>
        <v>0</v>
      </c>
      <c r="BI169" s="12">
        <f>G169*AP169</f>
        <v>0</v>
      </c>
      <c r="BJ169" s="12">
        <f>G169*H169</f>
        <v>0</v>
      </c>
    </row>
    <row r="170" spans="1:62" x14ac:dyDescent="0.25">
      <c r="A170" s="132" t="s">
        <v>116</v>
      </c>
      <c r="B170" s="132" t="s">
        <v>318</v>
      </c>
      <c r="C170" s="225" t="s">
        <v>533</v>
      </c>
      <c r="D170" s="221"/>
      <c r="E170" s="221"/>
      <c r="F170" s="132" t="s">
        <v>625</v>
      </c>
      <c r="G170" s="77">
        <v>141.523</v>
      </c>
      <c r="H170" s="17">
        <v>0</v>
      </c>
      <c r="I170" s="12">
        <f>G170*AO170</f>
        <v>0</v>
      </c>
      <c r="J170" s="12">
        <f>G170*AP170</f>
        <v>0</v>
      </c>
      <c r="K170" s="12">
        <f>G170*H170</f>
        <v>0</v>
      </c>
      <c r="L170" s="37">
        <f>IF(K264=0,0,K170/K264)</f>
        <v>0</v>
      </c>
      <c r="M170" s="27" t="s">
        <v>657</v>
      </c>
      <c r="Z170" s="32">
        <f>IF(AQ170="5",BJ170,0)</f>
        <v>0</v>
      </c>
      <c r="AB170" s="32">
        <f>IF(AQ170="1",BH170,0)</f>
        <v>0</v>
      </c>
      <c r="AC170" s="32">
        <f>IF(AQ170="1",BI170,0)</f>
        <v>0</v>
      </c>
      <c r="AD170" s="32">
        <f>IF(AQ170="7",BH170,0)</f>
        <v>0</v>
      </c>
      <c r="AE170" s="32">
        <f>IF(AQ170="7",BI170,0)</f>
        <v>0</v>
      </c>
      <c r="AF170" s="32">
        <f>IF(AQ170="2",BH170,0)</f>
        <v>0</v>
      </c>
      <c r="AG170" s="32">
        <f>IF(AQ170="2",BI170,0)</f>
        <v>0</v>
      </c>
      <c r="AH170" s="32">
        <f>IF(AQ170="0",BJ170,0)</f>
        <v>0</v>
      </c>
      <c r="AI170" s="28"/>
      <c r="AJ170" s="12">
        <f>IF(AN170=0,K170,0)</f>
        <v>0</v>
      </c>
      <c r="AK170" s="12">
        <f>IF(AN170=15,K170,0)</f>
        <v>0</v>
      </c>
      <c r="AL170" s="12">
        <f>IF(AN170=21,K170,0)</f>
        <v>0</v>
      </c>
      <c r="AN170" s="32">
        <v>21</v>
      </c>
      <c r="AO170" s="32">
        <f>H170*0.418600488232967</f>
        <v>0</v>
      </c>
      <c r="AP170" s="32">
        <f>H170*(1-0.418600488232967)</f>
        <v>0</v>
      </c>
      <c r="AQ170" s="27" t="s">
        <v>13</v>
      </c>
      <c r="AV170" s="32">
        <f>AW170+AX170</f>
        <v>0</v>
      </c>
      <c r="AW170" s="32">
        <f>G170*AO170</f>
        <v>0</v>
      </c>
      <c r="AX170" s="32">
        <f>G170*AP170</f>
        <v>0</v>
      </c>
      <c r="AY170" s="33" t="s">
        <v>696</v>
      </c>
      <c r="AZ170" s="33" t="s">
        <v>719</v>
      </c>
      <c r="BA170" s="28" t="s">
        <v>721</v>
      </c>
      <c r="BC170" s="32">
        <f>AW170+AX170</f>
        <v>0</v>
      </c>
      <c r="BD170" s="32">
        <f>H170/(100-BE170)*100</f>
        <v>0</v>
      </c>
      <c r="BE170" s="32">
        <v>0</v>
      </c>
      <c r="BF170" s="32">
        <f>174</f>
        <v>174</v>
      </c>
      <c r="BH170" s="12">
        <f>G170*AO170</f>
        <v>0</v>
      </c>
      <c r="BI170" s="12">
        <f>G170*AP170</f>
        <v>0</v>
      </c>
      <c r="BJ170" s="12">
        <f>G170*H170</f>
        <v>0</v>
      </c>
    </row>
    <row r="171" spans="1:62" x14ac:dyDescent="0.25">
      <c r="A171" s="5"/>
      <c r="B171" s="133" t="s">
        <v>319</v>
      </c>
      <c r="C171" s="226" t="s">
        <v>534</v>
      </c>
      <c r="D171" s="227"/>
      <c r="E171" s="227"/>
      <c r="F171" s="5" t="s">
        <v>6</v>
      </c>
      <c r="G171" s="5" t="s">
        <v>6</v>
      </c>
      <c r="H171" s="18" t="s">
        <v>6</v>
      </c>
      <c r="I171" s="35">
        <f>SUM(I172:I173)</f>
        <v>0</v>
      </c>
      <c r="J171" s="35">
        <f>SUM(J172:J173)</f>
        <v>0</v>
      </c>
      <c r="K171" s="35">
        <f>SUM(K172:K173)</f>
        <v>0</v>
      </c>
      <c r="L171" s="38">
        <f>IF(K264=0,0,K171/K264)</f>
        <v>0</v>
      </c>
      <c r="M171" s="28"/>
      <c r="AI171" s="28"/>
      <c r="AS171" s="35">
        <f>SUM(AJ172:AJ173)</f>
        <v>0</v>
      </c>
      <c r="AT171" s="35">
        <f>SUM(AK172:AK173)</f>
        <v>0</v>
      </c>
      <c r="AU171" s="35">
        <f>SUM(AL172:AL173)</f>
        <v>0</v>
      </c>
    </row>
    <row r="172" spans="1:62" x14ac:dyDescent="0.25">
      <c r="A172" s="132" t="s">
        <v>117</v>
      </c>
      <c r="B172" s="132" t="s">
        <v>320</v>
      </c>
      <c r="C172" s="225" t="s">
        <v>1142</v>
      </c>
      <c r="D172" s="221"/>
      <c r="E172" s="221"/>
      <c r="F172" s="132" t="s">
        <v>625</v>
      </c>
      <c r="G172" s="77">
        <v>395.80099999999999</v>
      </c>
      <c r="H172" s="17">
        <v>0</v>
      </c>
      <c r="I172" s="12">
        <f>G172*AO172</f>
        <v>0</v>
      </c>
      <c r="J172" s="12">
        <f>G172*AP172</f>
        <v>0</v>
      </c>
      <c r="K172" s="12">
        <f>G172*H172</f>
        <v>0</v>
      </c>
      <c r="L172" s="37">
        <f>IF(K264=0,0,K172/K264)</f>
        <v>0</v>
      </c>
      <c r="M172" s="27" t="s">
        <v>657</v>
      </c>
      <c r="Z172" s="32">
        <f>IF(AQ172="5",BJ172,0)</f>
        <v>0</v>
      </c>
      <c r="AB172" s="32">
        <f>IF(AQ172="1",BH172,0)</f>
        <v>0</v>
      </c>
      <c r="AC172" s="32">
        <f>IF(AQ172="1",BI172,0)</f>
        <v>0</v>
      </c>
      <c r="AD172" s="32">
        <f>IF(AQ172="7",BH172,0)</f>
        <v>0</v>
      </c>
      <c r="AE172" s="32">
        <f>IF(AQ172="7",BI172,0)</f>
        <v>0</v>
      </c>
      <c r="AF172" s="32">
        <f>IF(AQ172="2",BH172,0)</f>
        <v>0</v>
      </c>
      <c r="AG172" s="32">
        <f>IF(AQ172="2",BI172,0)</f>
        <v>0</v>
      </c>
      <c r="AH172" s="32">
        <f>IF(AQ172="0",BJ172,0)</f>
        <v>0</v>
      </c>
      <c r="AI172" s="28"/>
      <c r="AJ172" s="12">
        <f>IF(AN172=0,K172,0)</f>
        <v>0</v>
      </c>
      <c r="AK172" s="12">
        <f>IF(AN172=15,K172,0)</f>
        <v>0</v>
      </c>
      <c r="AL172" s="12">
        <f>IF(AN172=21,K172,0)</f>
        <v>0</v>
      </c>
      <c r="AN172" s="32">
        <v>21</v>
      </c>
      <c r="AO172" s="32">
        <f>H172*0.19575807034468</f>
        <v>0</v>
      </c>
      <c r="AP172" s="32">
        <f>H172*(1-0.19575807034468)</f>
        <v>0</v>
      </c>
      <c r="AQ172" s="27" t="s">
        <v>13</v>
      </c>
      <c r="AV172" s="32">
        <f>AW172+AX172</f>
        <v>0</v>
      </c>
      <c r="AW172" s="32">
        <f>G172*AO172</f>
        <v>0</v>
      </c>
      <c r="AX172" s="32">
        <f>G172*AP172</f>
        <v>0</v>
      </c>
      <c r="AY172" s="33" t="s">
        <v>697</v>
      </c>
      <c r="AZ172" s="33" t="s">
        <v>719</v>
      </c>
      <c r="BA172" s="28" t="s">
        <v>721</v>
      </c>
      <c r="BC172" s="32">
        <f>AW172+AX172</f>
        <v>0</v>
      </c>
      <c r="BD172" s="32">
        <f>H172/(100-BE172)*100</f>
        <v>0</v>
      </c>
      <c r="BE172" s="32">
        <v>0</v>
      </c>
      <c r="BF172" s="32">
        <f>176</f>
        <v>176</v>
      </c>
      <c r="BH172" s="12">
        <f>G172*AO172</f>
        <v>0</v>
      </c>
      <c r="BI172" s="12">
        <f>G172*AP172</f>
        <v>0</v>
      </c>
      <c r="BJ172" s="12">
        <f>G172*H172</f>
        <v>0</v>
      </c>
    </row>
    <row r="173" spans="1:62" x14ac:dyDescent="0.25">
      <c r="A173" s="132" t="s">
        <v>118</v>
      </c>
      <c r="B173" s="132" t="s">
        <v>321</v>
      </c>
      <c r="C173" s="225" t="s">
        <v>1143</v>
      </c>
      <c r="D173" s="221"/>
      <c r="E173" s="221"/>
      <c r="F173" s="132" t="s">
        <v>625</v>
      </c>
      <c r="G173" s="77">
        <v>395.80099999999999</v>
      </c>
      <c r="H173" s="17">
        <v>0</v>
      </c>
      <c r="I173" s="12">
        <f>G173*AO173</f>
        <v>0</v>
      </c>
      <c r="J173" s="12">
        <f>G173*AP173</f>
        <v>0</v>
      </c>
      <c r="K173" s="12">
        <f>G173*H173</f>
        <v>0</v>
      </c>
      <c r="L173" s="37">
        <f>IF(K264=0,0,K173/K264)</f>
        <v>0</v>
      </c>
      <c r="M173" s="27" t="s">
        <v>657</v>
      </c>
      <c r="Z173" s="32">
        <f>IF(AQ173="5",BJ173,0)</f>
        <v>0</v>
      </c>
      <c r="AB173" s="32">
        <f>IF(AQ173="1",BH173,0)</f>
        <v>0</v>
      </c>
      <c r="AC173" s="32">
        <f>IF(AQ173="1",BI173,0)</f>
        <v>0</v>
      </c>
      <c r="AD173" s="32">
        <f>IF(AQ173="7",BH173,0)</f>
        <v>0</v>
      </c>
      <c r="AE173" s="32">
        <f>IF(AQ173="7",BI173,0)</f>
        <v>0</v>
      </c>
      <c r="AF173" s="32">
        <f>IF(AQ173="2",BH173,0)</f>
        <v>0</v>
      </c>
      <c r="AG173" s="32">
        <f>IF(AQ173="2",BI173,0)</f>
        <v>0</v>
      </c>
      <c r="AH173" s="32">
        <f>IF(AQ173="0",BJ173,0)</f>
        <v>0</v>
      </c>
      <c r="AI173" s="28"/>
      <c r="AJ173" s="12">
        <f>IF(AN173=0,K173,0)</f>
        <v>0</v>
      </c>
      <c r="AK173" s="12">
        <f>IF(AN173=15,K173,0)</f>
        <v>0</v>
      </c>
      <c r="AL173" s="12">
        <f>IF(AN173=21,K173,0)</f>
        <v>0</v>
      </c>
      <c r="AN173" s="32">
        <v>21</v>
      </c>
      <c r="AO173" s="32">
        <f>H173*0.215037728788123</f>
        <v>0</v>
      </c>
      <c r="AP173" s="32">
        <f>H173*(1-0.215037728788123)</f>
        <v>0</v>
      </c>
      <c r="AQ173" s="27" t="s">
        <v>13</v>
      </c>
      <c r="AV173" s="32">
        <f>AW173+AX173</f>
        <v>0</v>
      </c>
      <c r="AW173" s="32">
        <f>G173*AO173</f>
        <v>0</v>
      </c>
      <c r="AX173" s="32">
        <f>G173*AP173</f>
        <v>0</v>
      </c>
      <c r="AY173" s="33" t="s">
        <v>697</v>
      </c>
      <c r="AZ173" s="33" t="s">
        <v>719</v>
      </c>
      <c r="BA173" s="28" t="s">
        <v>721</v>
      </c>
      <c r="BC173" s="32">
        <f>AW173+AX173</f>
        <v>0</v>
      </c>
      <c r="BD173" s="32">
        <f>H173/(100-BE173)*100</f>
        <v>0</v>
      </c>
      <c r="BE173" s="32">
        <v>0</v>
      </c>
      <c r="BF173" s="32">
        <f>177</f>
        <v>177</v>
      </c>
      <c r="BH173" s="12">
        <f>G173*AO173</f>
        <v>0</v>
      </c>
      <c r="BI173" s="12">
        <f>G173*AP173</f>
        <v>0</v>
      </c>
      <c r="BJ173" s="12">
        <f>G173*H173</f>
        <v>0</v>
      </c>
    </row>
    <row r="174" spans="1:62" x14ac:dyDescent="0.25">
      <c r="A174" s="5"/>
      <c r="B174" s="133" t="s">
        <v>322</v>
      </c>
      <c r="C174" s="226" t="s">
        <v>535</v>
      </c>
      <c r="D174" s="227"/>
      <c r="E174" s="227"/>
      <c r="F174" s="5" t="s">
        <v>6</v>
      </c>
      <c r="G174" s="5" t="s">
        <v>6</v>
      </c>
      <c r="H174" s="18" t="s">
        <v>6</v>
      </c>
      <c r="I174" s="35">
        <f>SUM(I175:I177)</f>
        <v>0</v>
      </c>
      <c r="J174" s="35">
        <f>SUM(J175:J177)</f>
        <v>0</v>
      </c>
      <c r="K174" s="35">
        <f>SUM(K175:K177)</f>
        <v>0</v>
      </c>
      <c r="L174" s="38">
        <f>IF(K264=0,0,K174/K264)</f>
        <v>0</v>
      </c>
      <c r="M174" s="28"/>
      <c r="AI174" s="28"/>
      <c r="AS174" s="35">
        <f>SUM(AJ175:AJ177)</f>
        <v>0</v>
      </c>
      <c r="AT174" s="35">
        <f>SUM(AK175:AK177)</f>
        <v>0</v>
      </c>
      <c r="AU174" s="35">
        <f>SUM(AL175:AL177)</f>
        <v>0</v>
      </c>
    </row>
    <row r="175" spans="1:62" x14ac:dyDescent="0.25">
      <c r="A175" s="132" t="s">
        <v>119</v>
      </c>
      <c r="B175" s="132" t="s">
        <v>323</v>
      </c>
      <c r="C175" s="225" t="s">
        <v>536</v>
      </c>
      <c r="D175" s="221"/>
      <c r="E175" s="221"/>
      <c r="F175" s="132" t="s">
        <v>625</v>
      </c>
      <c r="G175" s="77">
        <v>8.19</v>
      </c>
      <c r="H175" s="17">
        <v>0</v>
      </c>
      <c r="I175" s="12">
        <f>G175*AO175</f>
        <v>0</v>
      </c>
      <c r="J175" s="12">
        <f>G175*AP175</f>
        <v>0</v>
      </c>
      <c r="K175" s="12">
        <f>G175*H175</f>
        <v>0</v>
      </c>
      <c r="L175" s="37">
        <f>IF(K264=0,0,K175/K264)</f>
        <v>0</v>
      </c>
      <c r="M175" s="27" t="s">
        <v>657</v>
      </c>
      <c r="Z175" s="32">
        <f>IF(AQ175="5",BJ175,0)</f>
        <v>0</v>
      </c>
      <c r="AB175" s="32">
        <f>IF(AQ175="1",BH175,0)</f>
        <v>0</v>
      </c>
      <c r="AC175" s="32">
        <f>IF(AQ175="1",BI175,0)</f>
        <v>0</v>
      </c>
      <c r="AD175" s="32">
        <f>IF(AQ175="7",BH175,0)</f>
        <v>0</v>
      </c>
      <c r="AE175" s="32">
        <f>IF(AQ175="7",BI175,0)</f>
        <v>0</v>
      </c>
      <c r="AF175" s="32">
        <f>IF(AQ175="2",BH175,0)</f>
        <v>0</v>
      </c>
      <c r="AG175" s="32">
        <f>IF(AQ175="2",BI175,0)</f>
        <v>0</v>
      </c>
      <c r="AH175" s="32">
        <f>IF(AQ175="0",BJ175,0)</f>
        <v>0</v>
      </c>
      <c r="AI175" s="28"/>
      <c r="AJ175" s="12">
        <f>IF(AN175=0,K175,0)</f>
        <v>0</v>
      </c>
      <c r="AK175" s="12">
        <f>IF(AN175=15,K175,0)</f>
        <v>0</v>
      </c>
      <c r="AL175" s="12">
        <f>IF(AN175=21,K175,0)</f>
        <v>0</v>
      </c>
      <c r="AN175" s="32">
        <v>21</v>
      </c>
      <c r="AO175" s="32">
        <f>H175*0.737040145157632</f>
        <v>0</v>
      </c>
      <c r="AP175" s="32">
        <f>H175*(1-0.737040145157632)</f>
        <v>0</v>
      </c>
      <c r="AQ175" s="27" t="s">
        <v>13</v>
      </c>
      <c r="AV175" s="32">
        <f>AW175+AX175</f>
        <v>0</v>
      </c>
      <c r="AW175" s="32">
        <f>G175*AO175</f>
        <v>0</v>
      </c>
      <c r="AX175" s="32">
        <f>G175*AP175</f>
        <v>0</v>
      </c>
      <c r="AY175" s="33" t="s">
        <v>698</v>
      </c>
      <c r="AZ175" s="33" t="s">
        <v>719</v>
      </c>
      <c r="BA175" s="28" t="s">
        <v>721</v>
      </c>
      <c r="BC175" s="32">
        <f>AW175+AX175</f>
        <v>0</v>
      </c>
      <c r="BD175" s="32">
        <f>H175/(100-BE175)*100</f>
        <v>0</v>
      </c>
      <c r="BE175" s="32">
        <v>0</v>
      </c>
      <c r="BF175" s="32">
        <f>179</f>
        <v>179</v>
      </c>
      <c r="BH175" s="12">
        <f>G175*AO175</f>
        <v>0</v>
      </c>
      <c r="BI175" s="12">
        <f>G175*AP175</f>
        <v>0</v>
      </c>
      <c r="BJ175" s="12">
        <f>G175*H175</f>
        <v>0</v>
      </c>
    </row>
    <row r="176" spans="1:62" x14ac:dyDescent="0.25">
      <c r="A176" s="274"/>
      <c r="B176" s="274"/>
      <c r="C176" s="228" t="s">
        <v>537</v>
      </c>
      <c r="D176" s="229"/>
      <c r="E176" s="229"/>
      <c r="F176" s="274"/>
      <c r="G176" s="274"/>
      <c r="H176" s="19"/>
      <c r="I176" s="274"/>
      <c r="J176" s="274"/>
      <c r="K176" s="274"/>
      <c r="L176" s="274"/>
      <c r="M176" s="274"/>
    </row>
    <row r="177" spans="1:62" x14ac:dyDescent="0.25">
      <c r="A177" s="132" t="s">
        <v>120</v>
      </c>
      <c r="B177" s="132" t="s">
        <v>324</v>
      </c>
      <c r="C177" s="225" t="s">
        <v>538</v>
      </c>
      <c r="D177" s="221"/>
      <c r="E177" s="221"/>
      <c r="F177" s="132" t="s">
        <v>627</v>
      </c>
      <c r="G177" s="77">
        <v>3.1E-2</v>
      </c>
      <c r="H177" s="17">
        <v>0</v>
      </c>
      <c r="I177" s="12">
        <f>G177*AO177</f>
        <v>0</v>
      </c>
      <c r="J177" s="12">
        <f>G177*AP177</f>
        <v>0</v>
      </c>
      <c r="K177" s="12">
        <f>G177*H177</f>
        <v>0</v>
      </c>
      <c r="L177" s="37">
        <f>IF(K264=0,0,K177/K264)</f>
        <v>0</v>
      </c>
      <c r="M177" s="27" t="s">
        <v>657</v>
      </c>
      <c r="Z177" s="32">
        <f>IF(AQ177="5",BJ177,0)</f>
        <v>0</v>
      </c>
      <c r="AB177" s="32">
        <f>IF(AQ177="1",BH177,0)</f>
        <v>0</v>
      </c>
      <c r="AC177" s="32">
        <f>IF(AQ177="1",BI177,0)</f>
        <v>0</v>
      </c>
      <c r="AD177" s="32">
        <f>IF(AQ177="7",BH177,0)</f>
        <v>0</v>
      </c>
      <c r="AE177" s="32">
        <f>IF(AQ177="7",BI177,0)</f>
        <v>0</v>
      </c>
      <c r="AF177" s="32">
        <f>IF(AQ177="2",BH177,0)</f>
        <v>0</v>
      </c>
      <c r="AG177" s="32">
        <f>IF(AQ177="2",BI177,0)</f>
        <v>0</v>
      </c>
      <c r="AH177" s="32">
        <f>IF(AQ177="0",BJ177,0)</f>
        <v>0</v>
      </c>
      <c r="AI177" s="28"/>
      <c r="AJ177" s="12">
        <f>IF(AN177=0,K177,0)</f>
        <v>0</v>
      </c>
      <c r="AK177" s="12">
        <f>IF(AN177=15,K177,0)</f>
        <v>0</v>
      </c>
      <c r="AL177" s="12">
        <f>IF(AN177=21,K177,0)</f>
        <v>0</v>
      </c>
      <c r="AN177" s="32">
        <v>21</v>
      </c>
      <c r="AO177" s="32">
        <f>H177*0</f>
        <v>0</v>
      </c>
      <c r="AP177" s="32">
        <f>H177*(1-0)</f>
        <v>0</v>
      </c>
      <c r="AQ177" s="27" t="s">
        <v>11</v>
      </c>
      <c r="AV177" s="32">
        <f>AW177+AX177</f>
        <v>0</v>
      </c>
      <c r="AW177" s="32">
        <f>G177*AO177</f>
        <v>0</v>
      </c>
      <c r="AX177" s="32">
        <f>G177*AP177</f>
        <v>0</v>
      </c>
      <c r="AY177" s="33" t="s">
        <v>698</v>
      </c>
      <c r="AZ177" s="33" t="s">
        <v>719</v>
      </c>
      <c r="BA177" s="28" t="s">
        <v>721</v>
      </c>
      <c r="BC177" s="32">
        <f>AW177+AX177</f>
        <v>0</v>
      </c>
      <c r="BD177" s="32">
        <f>H177/(100-BE177)*100</f>
        <v>0</v>
      </c>
      <c r="BE177" s="32">
        <v>0</v>
      </c>
      <c r="BF177" s="32">
        <f>181</f>
        <v>181</v>
      </c>
      <c r="BH177" s="12">
        <f>G177*AO177</f>
        <v>0</v>
      </c>
      <c r="BI177" s="12">
        <f>G177*AP177</f>
        <v>0</v>
      </c>
      <c r="BJ177" s="12">
        <f>G177*H177</f>
        <v>0</v>
      </c>
    </row>
    <row r="178" spans="1:62" x14ac:dyDescent="0.25">
      <c r="A178" s="5"/>
      <c r="B178" s="133" t="s">
        <v>95</v>
      </c>
      <c r="C178" s="226" t="s">
        <v>539</v>
      </c>
      <c r="D178" s="227"/>
      <c r="E178" s="227"/>
      <c r="F178" s="5" t="s">
        <v>6</v>
      </c>
      <c r="G178" s="5" t="s">
        <v>6</v>
      </c>
      <c r="H178" s="18" t="s">
        <v>6</v>
      </c>
      <c r="I178" s="35">
        <f>SUM(I179:I181)</f>
        <v>0</v>
      </c>
      <c r="J178" s="35">
        <f>SUM(J179:J181)</f>
        <v>0</v>
      </c>
      <c r="K178" s="35">
        <f>SUM(K179:K181)</f>
        <v>0</v>
      </c>
      <c r="L178" s="38">
        <f>IF(K264=0,0,K178/K264)</f>
        <v>0</v>
      </c>
      <c r="M178" s="28"/>
      <c r="AI178" s="28"/>
      <c r="AS178" s="35">
        <f>SUM(AJ179:AJ181)</f>
        <v>0</v>
      </c>
      <c r="AT178" s="35">
        <f>SUM(AK179:AK181)</f>
        <v>0</v>
      </c>
      <c r="AU178" s="35">
        <f>SUM(AL179:AL181)</f>
        <v>0</v>
      </c>
    </row>
    <row r="179" spans="1:62" x14ac:dyDescent="0.25">
      <c r="A179" s="132" t="s">
        <v>121</v>
      </c>
      <c r="B179" s="132" t="s">
        <v>325</v>
      </c>
      <c r="C179" s="225" t="s">
        <v>540</v>
      </c>
      <c r="D179" s="221"/>
      <c r="E179" s="221"/>
      <c r="F179" s="132" t="s">
        <v>629</v>
      </c>
      <c r="G179" s="77">
        <v>51.2</v>
      </c>
      <c r="H179" s="17">
        <v>0</v>
      </c>
      <c r="I179" s="12">
        <f>G179*AO179</f>
        <v>0</v>
      </c>
      <c r="J179" s="12">
        <f>G179*AP179</f>
        <v>0</v>
      </c>
      <c r="K179" s="12">
        <f>G179*H179</f>
        <v>0</v>
      </c>
      <c r="L179" s="37">
        <f>IF(K264=0,0,K179/K264)</f>
        <v>0</v>
      </c>
      <c r="M179" s="27" t="s">
        <v>657</v>
      </c>
      <c r="Z179" s="32">
        <f>IF(AQ179="5",BJ179,0)</f>
        <v>0</v>
      </c>
      <c r="AB179" s="32">
        <f>IF(AQ179="1",BH179,0)</f>
        <v>0</v>
      </c>
      <c r="AC179" s="32">
        <f>IF(AQ179="1",BI179,0)</f>
        <v>0</v>
      </c>
      <c r="AD179" s="32">
        <f>IF(AQ179="7",BH179,0)</f>
        <v>0</v>
      </c>
      <c r="AE179" s="32">
        <f>IF(AQ179="7",BI179,0)</f>
        <v>0</v>
      </c>
      <c r="AF179" s="32">
        <f>IF(AQ179="2",BH179,0)</f>
        <v>0</v>
      </c>
      <c r="AG179" s="32">
        <f>IF(AQ179="2",BI179,0)</f>
        <v>0</v>
      </c>
      <c r="AH179" s="32">
        <f>IF(AQ179="0",BJ179,0)</f>
        <v>0</v>
      </c>
      <c r="AI179" s="28"/>
      <c r="AJ179" s="12">
        <f>IF(AN179=0,K179,0)</f>
        <v>0</v>
      </c>
      <c r="AK179" s="12">
        <f>IF(AN179=15,K179,0)</f>
        <v>0</v>
      </c>
      <c r="AL179" s="12">
        <f>IF(AN179=21,K179,0)</f>
        <v>0</v>
      </c>
      <c r="AN179" s="32">
        <v>21</v>
      </c>
      <c r="AO179" s="32">
        <f>H179*0.52824180757145</f>
        <v>0</v>
      </c>
      <c r="AP179" s="32">
        <f>H179*(1-0.52824180757145)</f>
        <v>0</v>
      </c>
      <c r="AQ179" s="27" t="s">
        <v>7</v>
      </c>
      <c r="AV179" s="32">
        <f>AW179+AX179</f>
        <v>0</v>
      </c>
      <c r="AW179" s="32">
        <f>G179*AO179</f>
        <v>0</v>
      </c>
      <c r="AX179" s="32">
        <f>G179*AP179</f>
        <v>0</v>
      </c>
      <c r="AY179" s="33" t="s">
        <v>699</v>
      </c>
      <c r="AZ179" s="33" t="s">
        <v>720</v>
      </c>
      <c r="BA179" s="28" t="s">
        <v>721</v>
      </c>
      <c r="BC179" s="32">
        <f>AW179+AX179</f>
        <v>0</v>
      </c>
      <c r="BD179" s="32">
        <f>H179/(100-BE179)*100</f>
        <v>0</v>
      </c>
      <c r="BE179" s="32">
        <v>0</v>
      </c>
      <c r="BF179" s="32">
        <f>183</f>
        <v>183</v>
      </c>
      <c r="BH179" s="12">
        <f>G179*AO179</f>
        <v>0</v>
      </c>
      <c r="BI179" s="12">
        <f>G179*AP179</f>
        <v>0</v>
      </c>
      <c r="BJ179" s="12">
        <f>G179*H179</f>
        <v>0</v>
      </c>
    </row>
    <row r="180" spans="1:62" x14ac:dyDescent="0.25">
      <c r="A180" s="132" t="s">
        <v>122</v>
      </c>
      <c r="B180" s="132" t="s">
        <v>326</v>
      </c>
      <c r="C180" s="225" t="s">
        <v>541</v>
      </c>
      <c r="D180" s="221"/>
      <c r="E180" s="221"/>
      <c r="F180" s="132" t="s">
        <v>629</v>
      </c>
      <c r="G180" s="77">
        <v>78.92</v>
      </c>
      <c r="H180" s="17">
        <v>0</v>
      </c>
      <c r="I180" s="12">
        <f>G180*AO180</f>
        <v>0</v>
      </c>
      <c r="J180" s="12">
        <f>G180*AP180</f>
        <v>0</v>
      </c>
      <c r="K180" s="12">
        <f>G180*H180</f>
        <v>0</v>
      </c>
      <c r="L180" s="37">
        <f>IF(K264=0,0,K180/K264)</f>
        <v>0</v>
      </c>
      <c r="M180" s="27" t="s">
        <v>657</v>
      </c>
      <c r="Z180" s="32">
        <f>IF(AQ180="5",BJ180,0)</f>
        <v>0</v>
      </c>
      <c r="AB180" s="32">
        <f>IF(AQ180="1",BH180,0)</f>
        <v>0</v>
      </c>
      <c r="AC180" s="32">
        <f>IF(AQ180="1",BI180,0)</f>
        <v>0</v>
      </c>
      <c r="AD180" s="32">
        <f>IF(AQ180="7",BH180,0)</f>
        <v>0</v>
      </c>
      <c r="AE180" s="32">
        <f>IF(AQ180="7",BI180,0)</f>
        <v>0</v>
      </c>
      <c r="AF180" s="32">
        <f>IF(AQ180="2",BH180,0)</f>
        <v>0</v>
      </c>
      <c r="AG180" s="32">
        <f>IF(AQ180="2",BI180,0)</f>
        <v>0</v>
      </c>
      <c r="AH180" s="32">
        <f>IF(AQ180="0",BJ180,0)</f>
        <v>0</v>
      </c>
      <c r="AI180" s="28"/>
      <c r="AJ180" s="12">
        <f>IF(AN180=0,K180,0)</f>
        <v>0</v>
      </c>
      <c r="AK180" s="12">
        <f>IF(AN180=15,K180,0)</f>
        <v>0</v>
      </c>
      <c r="AL180" s="12">
        <f>IF(AN180=21,K180,0)</f>
        <v>0</v>
      </c>
      <c r="AN180" s="32">
        <v>21</v>
      </c>
      <c r="AO180" s="32">
        <f>H180*0.567941780293285</f>
        <v>0</v>
      </c>
      <c r="AP180" s="32">
        <f>H180*(1-0.567941780293285)</f>
        <v>0</v>
      </c>
      <c r="AQ180" s="27" t="s">
        <v>7</v>
      </c>
      <c r="AV180" s="32">
        <f>AW180+AX180</f>
        <v>0</v>
      </c>
      <c r="AW180" s="32">
        <f>G180*AO180</f>
        <v>0</v>
      </c>
      <c r="AX180" s="32">
        <f>G180*AP180</f>
        <v>0</v>
      </c>
      <c r="AY180" s="33" t="s">
        <v>699</v>
      </c>
      <c r="AZ180" s="33" t="s">
        <v>720</v>
      </c>
      <c r="BA180" s="28" t="s">
        <v>721</v>
      </c>
      <c r="BC180" s="32">
        <f>AW180+AX180</f>
        <v>0</v>
      </c>
      <c r="BD180" s="32">
        <f>H180/(100-BE180)*100</f>
        <v>0</v>
      </c>
      <c r="BE180" s="32">
        <v>0</v>
      </c>
      <c r="BF180" s="32">
        <f>184</f>
        <v>184</v>
      </c>
      <c r="BH180" s="12">
        <f>G180*AO180</f>
        <v>0</v>
      </c>
      <c r="BI180" s="12">
        <f>G180*AP180</f>
        <v>0</v>
      </c>
      <c r="BJ180" s="12">
        <f>G180*H180</f>
        <v>0</v>
      </c>
    </row>
    <row r="181" spans="1:62" x14ac:dyDescent="0.25">
      <c r="A181" s="137" t="s">
        <v>123</v>
      </c>
      <c r="B181" s="137" t="s">
        <v>327</v>
      </c>
      <c r="C181" s="223" t="s">
        <v>542</v>
      </c>
      <c r="D181" s="221"/>
      <c r="E181" s="224"/>
      <c r="F181" s="137" t="s">
        <v>629</v>
      </c>
      <c r="G181" s="92">
        <v>38.6</v>
      </c>
      <c r="H181" s="17">
        <v>0</v>
      </c>
      <c r="I181" s="93">
        <f>G181*AO181</f>
        <v>0</v>
      </c>
      <c r="J181" s="93">
        <f>G181*AP181</f>
        <v>0</v>
      </c>
      <c r="K181" s="93">
        <f>G181*H181</f>
        <v>0</v>
      </c>
      <c r="L181" s="94">
        <f>IF(K264=0,0,K181/K264)</f>
        <v>0</v>
      </c>
      <c r="M181" s="95" t="s">
        <v>657</v>
      </c>
      <c r="Z181" s="32">
        <f>IF(AQ181="5",BJ181,0)</f>
        <v>0</v>
      </c>
      <c r="AB181" s="32">
        <f>IF(AQ181="1",BH181,0)</f>
        <v>0</v>
      </c>
      <c r="AC181" s="32">
        <f>IF(AQ181="1",BI181,0)</f>
        <v>0</v>
      </c>
      <c r="AD181" s="32">
        <f>IF(AQ181="7",BH181,0)</f>
        <v>0</v>
      </c>
      <c r="AE181" s="32">
        <f>IF(AQ181="7",BI181,0)</f>
        <v>0</v>
      </c>
      <c r="AF181" s="32">
        <f>IF(AQ181="2",BH181,0)</f>
        <v>0</v>
      </c>
      <c r="AG181" s="32">
        <f>IF(AQ181="2",BI181,0)</f>
        <v>0</v>
      </c>
      <c r="AH181" s="32">
        <f>IF(AQ181="0",BJ181,0)</f>
        <v>0</v>
      </c>
      <c r="AI181" s="28"/>
      <c r="AJ181" s="12">
        <f>IF(AN181=0,K181,0)</f>
        <v>0</v>
      </c>
      <c r="AK181" s="12">
        <f>IF(AN181=15,K181,0)</f>
        <v>0</v>
      </c>
      <c r="AL181" s="12">
        <f>IF(AN181=21,K181,0)</f>
        <v>0</v>
      </c>
      <c r="AN181" s="32">
        <v>21</v>
      </c>
      <c r="AO181" s="32">
        <f>H181*0.619371532922165</f>
        <v>0</v>
      </c>
      <c r="AP181" s="32">
        <f>H181*(1-0.619371532922165)</f>
        <v>0</v>
      </c>
      <c r="AQ181" s="27" t="s">
        <v>7</v>
      </c>
      <c r="AV181" s="32">
        <f>AW181+AX181</f>
        <v>0</v>
      </c>
      <c r="AW181" s="32">
        <f>G181*AO181</f>
        <v>0</v>
      </c>
      <c r="AX181" s="32">
        <f>G181*AP181</f>
        <v>0</v>
      </c>
      <c r="AY181" s="33" t="s">
        <v>699</v>
      </c>
      <c r="AZ181" s="33" t="s">
        <v>720</v>
      </c>
      <c r="BA181" s="28" t="s">
        <v>721</v>
      </c>
      <c r="BC181" s="32">
        <f>AW181+AX181</f>
        <v>0</v>
      </c>
      <c r="BD181" s="32">
        <f>H181/(100-BE181)*100</f>
        <v>0</v>
      </c>
      <c r="BE181" s="32">
        <v>0</v>
      </c>
      <c r="BF181" s="32">
        <f>185</f>
        <v>185</v>
      </c>
      <c r="BH181" s="12">
        <f>G181*AO181</f>
        <v>0</v>
      </c>
      <c r="BI181" s="12">
        <f>G181*AP181</f>
        <v>0</v>
      </c>
      <c r="BJ181" s="12">
        <f>G181*H181</f>
        <v>0</v>
      </c>
    </row>
    <row r="182" spans="1:62" x14ac:dyDescent="0.25">
      <c r="A182" s="5"/>
      <c r="B182" s="133" t="s">
        <v>98</v>
      </c>
      <c r="C182" s="226" t="s">
        <v>543</v>
      </c>
      <c r="D182" s="227"/>
      <c r="E182" s="227"/>
      <c r="F182" s="5" t="s">
        <v>6</v>
      </c>
      <c r="G182" s="5" t="s">
        <v>6</v>
      </c>
      <c r="H182" s="18" t="s">
        <v>6</v>
      </c>
      <c r="I182" s="35">
        <f>SUM(I183:I187)</f>
        <v>0</v>
      </c>
      <c r="J182" s="35">
        <f>SUM(J183:J187)</f>
        <v>0</v>
      </c>
      <c r="K182" s="35">
        <f>SUM(K183:K187)</f>
        <v>0</v>
      </c>
      <c r="L182" s="38">
        <f>IF(K264=0,0,K182/K264)</f>
        <v>0</v>
      </c>
      <c r="M182" s="28"/>
      <c r="AI182" s="28"/>
      <c r="AS182" s="35">
        <f>SUM(AJ183:AJ187)</f>
        <v>0</v>
      </c>
      <c r="AT182" s="35">
        <f>SUM(AK183:AK187)</f>
        <v>0</v>
      </c>
      <c r="AU182" s="35">
        <f>SUM(AL183:AL187)</f>
        <v>0</v>
      </c>
    </row>
    <row r="183" spans="1:62" x14ac:dyDescent="0.25">
      <c r="A183" s="132" t="s">
        <v>124</v>
      </c>
      <c r="B183" s="132" t="s">
        <v>328</v>
      </c>
      <c r="C183" s="225" t="s">
        <v>1144</v>
      </c>
      <c r="D183" s="221"/>
      <c r="E183" s="221"/>
      <c r="F183" s="132" t="s">
        <v>634</v>
      </c>
      <c r="G183" s="77">
        <v>1</v>
      </c>
      <c r="H183" s="17">
        <v>0</v>
      </c>
      <c r="I183" s="12">
        <f>G183*AO183</f>
        <v>0</v>
      </c>
      <c r="J183" s="12">
        <f>G183*AP183</f>
        <v>0</v>
      </c>
      <c r="K183" s="12">
        <f>G183*H183</f>
        <v>0</v>
      </c>
      <c r="L183" s="37">
        <f>IF(K264=0,0,K183/K264)</f>
        <v>0</v>
      </c>
      <c r="M183" s="27" t="s">
        <v>657</v>
      </c>
      <c r="Z183" s="32">
        <f>IF(AQ183="5",BJ183,0)</f>
        <v>0</v>
      </c>
      <c r="AB183" s="32">
        <f>IF(AQ183="1",BH183,0)</f>
        <v>0</v>
      </c>
      <c r="AC183" s="32">
        <f>IF(AQ183="1",BI183,0)</f>
        <v>0</v>
      </c>
      <c r="AD183" s="32">
        <f>IF(AQ183="7",BH183,0)</f>
        <v>0</v>
      </c>
      <c r="AE183" s="32">
        <f>IF(AQ183="7",BI183,0)</f>
        <v>0</v>
      </c>
      <c r="AF183" s="32">
        <f>IF(AQ183="2",BH183,0)</f>
        <v>0</v>
      </c>
      <c r="AG183" s="32">
        <f>IF(AQ183="2",BI183,0)</f>
        <v>0</v>
      </c>
      <c r="AH183" s="32">
        <f>IF(AQ183="0",BJ183,0)</f>
        <v>0</v>
      </c>
      <c r="AI183" s="28"/>
      <c r="AJ183" s="12">
        <f>IF(AN183=0,K183,0)</f>
        <v>0</v>
      </c>
      <c r="AK183" s="12">
        <f>IF(AN183=15,K183,0)</f>
        <v>0</v>
      </c>
      <c r="AL183" s="12">
        <f>IF(AN183=21,K183,0)</f>
        <v>0</v>
      </c>
      <c r="AN183" s="32">
        <v>21</v>
      </c>
      <c r="AO183" s="32">
        <f>H183*0</f>
        <v>0</v>
      </c>
      <c r="AP183" s="32">
        <f>H183*(1-0)</f>
        <v>0</v>
      </c>
      <c r="AQ183" s="27" t="s">
        <v>7</v>
      </c>
      <c r="AV183" s="32">
        <f>AW183+AX183</f>
        <v>0</v>
      </c>
      <c r="AW183" s="32">
        <f>G183*AO183</f>
        <v>0</v>
      </c>
      <c r="AX183" s="32">
        <f>G183*AP183</f>
        <v>0</v>
      </c>
      <c r="AY183" s="33" t="s">
        <v>700</v>
      </c>
      <c r="AZ183" s="33" t="s">
        <v>720</v>
      </c>
      <c r="BA183" s="28" t="s">
        <v>721</v>
      </c>
      <c r="BC183" s="32">
        <f>AW183+AX183</f>
        <v>0</v>
      </c>
      <c r="BD183" s="32">
        <f>H183/(100-BE183)*100</f>
        <v>0</v>
      </c>
      <c r="BE183" s="32">
        <v>0</v>
      </c>
      <c r="BF183" s="32">
        <f>187</f>
        <v>187</v>
      </c>
      <c r="BH183" s="12">
        <f>G183*AO183</f>
        <v>0</v>
      </c>
      <c r="BI183" s="12">
        <f>G183*AP183</f>
        <v>0</v>
      </c>
      <c r="BJ183" s="12">
        <f>G183*H183</f>
        <v>0</v>
      </c>
    </row>
    <row r="184" spans="1:62" x14ac:dyDescent="0.25">
      <c r="A184" s="274"/>
      <c r="B184" s="274"/>
      <c r="C184" s="228" t="s">
        <v>544</v>
      </c>
      <c r="D184" s="229"/>
      <c r="E184" s="229"/>
      <c r="F184" s="274"/>
      <c r="G184" s="274"/>
      <c r="H184" s="19"/>
      <c r="I184" s="274"/>
      <c r="J184" s="274"/>
      <c r="K184" s="274"/>
      <c r="L184" s="274"/>
      <c r="M184" s="274"/>
    </row>
    <row r="185" spans="1:62" x14ac:dyDescent="0.25">
      <c r="A185" s="132" t="s">
        <v>125</v>
      </c>
      <c r="B185" s="132" t="s">
        <v>329</v>
      </c>
      <c r="C185" s="225" t="s">
        <v>1145</v>
      </c>
      <c r="D185" s="221"/>
      <c r="E185" s="221"/>
      <c r="F185" s="132" t="s">
        <v>635</v>
      </c>
      <c r="G185" s="77">
        <v>45</v>
      </c>
      <c r="H185" s="17">
        <v>0</v>
      </c>
      <c r="I185" s="12">
        <f>G185*AO185</f>
        <v>0</v>
      </c>
      <c r="J185" s="12">
        <f>G185*AP185</f>
        <v>0</v>
      </c>
      <c r="K185" s="12">
        <f>G185*H185</f>
        <v>0</v>
      </c>
      <c r="L185" s="37">
        <f>IF(K264=0,0,K185/K264)</f>
        <v>0</v>
      </c>
      <c r="M185" s="27" t="s">
        <v>657</v>
      </c>
      <c r="Z185" s="32">
        <f>IF(AQ185="5",BJ185,0)</f>
        <v>0</v>
      </c>
      <c r="AB185" s="32">
        <f>IF(AQ185="1",BH185,0)</f>
        <v>0</v>
      </c>
      <c r="AC185" s="32">
        <f>IF(AQ185="1",BI185,0)</f>
        <v>0</v>
      </c>
      <c r="AD185" s="32">
        <f>IF(AQ185="7",BH185,0)</f>
        <v>0</v>
      </c>
      <c r="AE185" s="32">
        <f>IF(AQ185="7",BI185,0)</f>
        <v>0</v>
      </c>
      <c r="AF185" s="32">
        <f>IF(AQ185="2",BH185,0)</f>
        <v>0</v>
      </c>
      <c r="AG185" s="32">
        <f>IF(AQ185="2",BI185,0)</f>
        <v>0</v>
      </c>
      <c r="AH185" s="32">
        <f>IF(AQ185="0",BJ185,0)</f>
        <v>0</v>
      </c>
      <c r="AI185" s="28"/>
      <c r="AJ185" s="12">
        <f>IF(AN185=0,K185,0)</f>
        <v>0</v>
      </c>
      <c r="AK185" s="12">
        <f>IF(AN185=15,K185,0)</f>
        <v>0</v>
      </c>
      <c r="AL185" s="12">
        <f>IF(AN185=21,K185,0)</f>
        <v>0</v>
      </c>
      <c r="AN185" s="32">
        <v>21</v>
      </c>
      <c r="AO185" s="32">
        <f>H185*0</f>
        <v>0</v>
      </c>
      <c r="AP185" s="32">
        <f>H185*(1-0)</f>
        <v>0</v>
      </c>
      <c r="AQ185" s="27" t="s">
        <v>7</v>
      </c>
      <c r="AV185" s="32">
        <f>AW185+AX185</f>
        <v>0</v>
      </c>
      <c r="AW185" s="32">
        <f>G185*AO185</f>
        <v>0</v>
      </c>
      <c r="AX185" s="32">
        <f>G185*AP185</f>
        <v>0</v>
      </c>
      <c r="AY185" s="33" t="s">
        <v>700</v>
      </c>
      <c r="AZ185" s="33" t="s">
        <v>720</v>
      </c>
      <c r="BA185" s="28" t="s">
        <v>721</v>
      </c>
      <c r="BC185" s="32">
        <f>AW185+AX185</f>
        <v>0</v>
      </c>
      <c r="BD185" s="32">
        <f>H185/(100-BE185)*100</f>
        <v>0</v>
      </c>
      <c r="BE185" s="32">
        <v>0</v>
      </c>
      <c r="BF185" s="32">
        <f>189</f>
        <v>189</v>
      </c>
      <c r="BH185" s="12">
        <f>G185*AO185</f>
        <v>0</v>
      </c>
      <c r="BI185" s="12">
        <f>G185*AP185</f>
        <v>0</v>
      </c>
      <c r="BJ185" s="12">
        <f>G185*H185</f>
        <v>0</v>
      </c>
    </row>
    <row r="186" spans="1:62" x14ac:dyDescent="0.25">
      <c r="A186" s="274"/>
      <c r="B186" s="274"/>
      <c r="C186" s="228" t="s">
        <v>544</v>
      </c>
      <c r="D186" s="229"/>
      <c r="E186" s="229"/>
      <c r="F186" s="274"/>
      <c r="G186" s="274"/>
      <c r="H186" s="19"/>
      <c r="I186" s="274"/>
      <c r="J186" s="274"/>
      <c r="K186" s="274"/>
      <c r="L186" s="274"/>
      <c r="M186" s="274"/>
    </row>
    <row r="187" spans="1:62" x14ac:dyDescent="0.25">
      <c r="A187" s="132" t="s">
        <v>126</v>
      </c>
      <c r="B187" s="132" t="s">
        <v>330</v>
      </c>
      <c r="C187" s="225" t="s">
        <v>1146</v>
      </c>
      <c r="D187" s="221"/>
      <c r="E187" s="221"/>
      <c r="F187" s="132" t="s">
        <v>634</v>
      </c>
      <c r="G187" s="77">
        <v>1</v>
      </c>
      <c r="H187" s="17">
        <v>0</v>
      </c>
      <c r="I187" s="12">
        <f>G187*AO187</f>
        <v>0</v>
      </c>
      <c r="J187" s="12">
        <f>G187*AP187</f>
        <v>0</v>
      </c>
      <c r="K187" s="12">
        <f>G187*H187</f>
        <v>0</v>
      </c>
      <c r="L187" s="37">
        <f>IF(K264=0,0,K187/K264)</f>
        <v>0</v>
      </c>
      <c r="M187" s="27" t="s">
        <v>657</v>
      </c>
      <c r="Z187" s="32">
        <f>IF(AQ187="5",BJ187,0)</f>
        <v>0</v>
      </c>
      <c r="AB187" s="32">
        <f>IF(AQ187="1",BH187,0)</f>
        <v>0</v>
      </c>
      <c r="AC187" s="32">
        <f>IF(AQ187="1",BI187,0)</f>
        <v>0</v>
      </c>
      <c r="AD187" s="32">
        <f>IF(AQ187="7",BH187,0)</f>
        <v>0</v>
      </c>
      <c r="AE187" s="32">
        <f>IF(AQ187="7",BI187,0)</f>
        <v>0</v>
      </c>
      <c r="AF187" s="32">
        <f>IF(AQ187="2",BH187,0)</f>
        <v>0</v>
      </c>
      <c r="AG187" s="32">
        <f>IF(AQ187="2",BI187,0)</f>
        <v>0</v>
      </c>
      <c r="AH187" s="32">
        <f>IF(AQ187="0",BJ187,0)</f>
        <v>0</v>
      </c>
      <c r="AI187" s="28"/>
      <c r="AJ187" s="12">
        <f>IF(AN187=0,K187,0)</f>
        <v>0</v>
      </c>
      <c r="AK187" s="12">
        <f>IF(AN187=15,K187,0)</f>
        <v>0</v>
      </c>
      <c r="AL187" s="12">
        <f>IF(AN187=21,K187,0)</f>
        <v>0</v>
      </c>
      <c r="AN187" s="32">
        <v>21</v>
      </c>
      <c r="AO187" s="32">
        <f>H187*0</f>
        <v>0</v>
      </c>
      <c r="AP187" s="32">
        <f>H187*(1-0)</f>
        <v>0</v>
      </c>
      <c r="AQ187" s="27" t="s">
        <v>7</v>
      </c>
      <c r="AV187" s="32">
        <f>AW187+AX187</f>
        <v>0</v>
      </c>
      <c r="AW187" s="32">
        <f>G187*AO187</f>
        <v>0</v>
      </c>
      <c r="AX187" s="32">
        <f>G187*AP187</f>
        <v>0</v>
      </c>
      <c r="AY187" s="33" t="s">
        <v>700</v>
      </c>
      <c r="AZ187" s="33" t="s">
        <v>720</v>
      </c>
      <c r="BA187" s="28" t="s">
        <v>721</v>
      </c>
      <c r="BC187" s="32">
        <f>AW187+AX187</f>
        <v>0</v>
      </c>
      <c r="BD187" s="32">
        <f>H187/(100-BE187)*100</f>
        <v>0</v>
      </c>
      <c r="BE187" s="32">
        <v>0</v>
      </c>
      <c r="BF187" s="32">
        <f>191</f>
        <v>191</v>
      </c>
      <c r="BH187" s="12">
        <f>G187*AO187</f>
        <v>0</v>
      </c>
      <c r="BI187" s="12">
        <f>G187*AP187</f>
        <v>0</v>
      </c>
      <c r="BJ187" s="12">
        <f>G187*H187</f>
        <v>0</v>
      </c>
    </row>
    <row r="188" spans="1:62" x14ac:dyDescent="0.25">
      <c r="A188" s="274"/>
      <c r="B188" s="274"/>
      <c r="C188" s="228" t="s">
        <v>544</v>
      </c>
      <c r="D188" s="229"/>
      <c r="E188" s="229"/>
      <c r="F188" s="274"/>
      <c r="G188" s="274"/>
      <c r="H188" s="19"/>
      <c r="I188" s="274"/>
      <c r="J188" s="274"/>
      <c r="K188" s="274"/>
      <c r="L188" s="274"/>
      <c r="M188" s="274"/>
    </row>
    <row r="189" spans="1:62" x14ac:dyDescent="0.25">
      <c r="A189" s="5"/>
      <c r="B189" s="133" t="s">
        <v>100</v>
      </c>
      <c r="C189" s="226" t="s">
        <v>545</v>
      </c>
      <c r="D189" s="227"/>
      <c r="E189" s="227"/>
      <c r="F189" s="5" t="s">
        <v>6</v>
      </c>
      <c r="G189" s="5" t="s">
        <v>6</v>
      </c>
      <c r="H189" s="18" t="s">
        <v>6</v>
      </c>
      <c r="I189" s="35">
        <f>SUM(I190:I208)</f>
        <v>0</v>
      </c>
      <c r="J189" s="35">
        <f>SUM(J190:J208)</f>
        <v>0</v>
      </c>
      <c r="K189" s="35">
        <f>SUM(K190:K208)</f>
        <v>0</v>
      </c>
      <c r="L189" s="38">
        <f>IF(K264=0,0,K189/K264)</f>
        <v>0</v>
      </c>
      <c r="M189" s="28"/>
      <c r="AI189" s="28"/>
      <c r="AS189" s="35">
        <f>SUM(AJ190:AJ208)</f>
        <v>0</v>
      </c>
      <c r="AT189" s="35">
        <f>SUM(AK190:AK208)</f>
        <v>0</v>
      </c>
      <c r="AU189" s="35">
        <f>SUM(AL190:AL208)</f>
        <v>0</v>
      </c>
    </row>
    <row r="190" spans="1:62" x14ac:dyDescent="0.25">
      <c r="A190" s="132" t="s">
        <v>127</v>
      </c>
      <c r="B190" s="132" t="s">
        <v>331</v>
      </c>
      <c r="C190" s="225" t="s">
        <v>546</v>
      </c>
      <c r="D190" s="221"/>
      <c r="E190" s="221"/>
      <c r="F190" s="132" t="s">
        <v>628</v>
      </c>
      <c r="G190" s="77">
        <v>6</v>
      </c>
      <c r="H190" s="17">
        <v>0</v>
      </c>
      <c r="I190" s="12">
        <f t="shared" ref="I190:I199" si="66">G190*AO190</f>
        <v>0</v>
      </c>
      <c r="J190" s="12">
        <f t="shared" ref="J190:J199" si="67">G190*AP190</f>
        <v>0</v>
      </c>
      <c r="K190" s="12">
        <f t="shared" ref="K190:K199" si="68">G190*H190</f>
        <v>0</v>
      </c>
      <c r="L190" s="37">
        <f>IF(K264=0,0,K190/K264)</f>
        <v>0</v>
      </c>
      <c r="M190" s="27" t="s">
        <v>657</v>
      </c>
      <c r="Z190" s="32">
        <f t="shared" ref="Z190:Z199" si="69">IF(AQ190="5",BJ190,0)</f>
        <v>0</v>
      </c>
      <c r="AB190" s="32">
        <f t="shared" ref="AB190:AB199" si="70">IF(AQ190="1",BH190,0)</f>
        <v>0</v>
      </c>
      <c r="AC190" s="32">
        <f t="shared" ref="AC190:AC199" si="71">IF(AQ190="1",BI190,0)</f>
        <v>0</v>
      </c>
      <c r="AD190" s="32">
        <f t="shared" ref="AD190:AD199" si="72">IF(AQ190="7",BH190,0)</f>
        <v>0</v>
      </c>
      <c r="AE190" s="32">
        <f t="shared" ref="AE190:AE199" si="73">IF(AQ190="7",BI190,0)</f>
        <v>0</v>
      </c>
      <c r="AF190" s="32">
        <f t="shared" ref="AF190:AF199" si="74">IF(AQ190="2",BH190,0)</f>
        <v>0</v>
      </c>
      <c r="AG190" s="32">
        <f t="shared" ref="AG190:AG199" si="75">IF(AQ190="2",BI190,0)</f>
        <v>0</v>
      </c>
      <c r="AH190" s="32">
        <f t="shared" ref="AH190:AH199" si="76">IF(AQ190="0",BJ190,0)</f>
        <v>0</v>
      </c>
      <c r="AI190" s="28"/>
      <c r="AJ190" s="12">
        <f t="shared" ref="AJ190:AJ199" si="77">IF(AN190=0,K190,0)</f>
        <v>0</v>
      </c>
      <c r="AK190" s="12">
        <f t="shared" ref="AK190:AK199" si="78">IF(AN190=15,K190,0)</f>
        <v>0</v>
      </c>
      <c r="AL190" s="12">
        <f t="shared" ref="AL190:AL199" si="79">IF(AN190=21,K190,0)</f>
        <v>0</v>
      </c>
      <c r="AN190" s="32">
        <v>21</v>
      </c>
      <c r="AO190" s="32">
        <f>H190*0</f>
        <v>0</v>
      </c>
      <c r="AP190" s="32">
        <f>H190*(1-0)</f>
        <v>0</v>
      </c>
      <c r="AQ190" s="27" t="s">
        <v>7</v>
      </c>
      <c r="AV190" s="32">
        <f t="shared" ref="AV190:AV199" si="80">AW190+AX190</f>
        <v>0</v>
      </c>
      <c r="AW190" s="32">
        <f t="shared" ref="AW190:AW199" si="81">G190*AO190</f>
        <v>0</v>
      </c>
      <c r="AX190" s="32">
        <f t="shared" ref="AX190:AX199" si="82">G190*AP190</f>
        <v>0</v>
      </c>
      <c r="AY190" s="33" t="s">
        <v>701</v>
      </c>
      <c r="AZ190" s="33" t="s">
        <v>720</v>
      </c>
      <c r="BA190" s="28" t="s">
        <v>721</v>
      </c>
      <c r="BC190" s="32">
        <f t="shared" ref="BC190:BC199" si="83">AW190+AX190</f>
        <v>0</v>
      </c>
      <c r="BD190" s="32">
        <f t="shared" ref="BD190:BD199" si="84">H190/(100-BE190)*100</f>
        <v>0</v>
      </c>
      <c r="BE190" s="32">
        <v>0</v>
      </c>
      <c r="BF190" s="32">
        <f>194</f>
        <v>194</v>
      </c>
      <c r="BH190" s="12">
        <f t="shared" ref="BH190:BH199" si="85">G190*AO190</f>
        <v>0</v>
      </c>
      <c r="BI190" s="12">
        <f t="shared" ref="BI190:BI199" si="86">G190*AP190</f>
        <v>0</v>
      </c>
      <c r="BJ190" s="12">
        <f t="shared" ref="BJ190:BJ199" si="87">G190*H190</f>
        <v>0</v>
      </c>
    </row>
    <row r="191" spans="1:62" x14ac:dyDescent="0.25">
      <c r="A191" s="132" t="s">
        <v>128</v>
      </c>
      <c r="B191" s="132" t="s">
        <v>332</v>
      </c>
      <c r="C191" s="225" t="s">
        <v>547</v>
      </c>
      <c r="D191" s="221"/>
      <c r="E191" s="221"/>
      <c r="F191" s="132" t="s">
        <v>625</v>
      </c>
      <c r="G191" s="77">
        <v>8.8650000000000002</v>
      </c>
      <c r="H191" s="17">
        <v>0</v>
      </c>
      <c r="I191" s="12">
        <f t="shared" si="66"/>
        <v>0</v>
      </c>
      <c r="J191" s="12">
        <f t="shared" si="67"/>
        <v>0</v>
      </c>
      <c r="K191" s="12">
        <f t="shared" si="68"/>
        <v>0</v>
      </c>
      <c r="L191" s="37">
        <f>IF(K264=0,0,K191/K264)</f>
        <v>0</v>
      </c>
      <c r="M191" s="27" t="s">
        <v>657</v>
      </c>
      <c r="Z191" s="32">
        <f t="shared" si="69"/>
        <v>0</v>
      </c>
      <c r="AB191" s="32">
        <f t="shared" si="70"/>
        <v>0</v>
      </c>
      <c r="AC191" s="32">
        <f t="shared" si="71"/>
        <v>0</v>
      </c>
      <c r="AD191" s="32">
        <f t="shared" si="72"/>
        <v>0</v>
      </c>
      <c r="AE191" s="32">
        <f t="shared" si="73"/>
        <v>0</v>
      </c>
      <c r="AF191" s="32">
        <f t="shared" si="74"/>
        <v>0</v>
      </c>
      <c r="AG191" s="32">
        <f t="shared" si="75"/>
        <v>0</v>
      </c>
      <c r="AH191" s="32">
        <f t="shared" si="76"/>
        <v>0</v>
      </c>
      <c r="AI191" s="28"/>
      <c r="AJ191" s="12">
        <f t="shared" si="77"/>
        <v>0</v>
      </c>
      <c r="AK191" s="12">
        <f t="shared" si="78"/>
        <v>0</v>
      </c>
      <c r="AL191" s="12">
        <f t="shared" si="79"/>
        <v>0</v>
      </c>
      <c r="AN191" s="32">
        <v>21</v>
      </c>
      <c r="AO191" s="32">
        <f>H191*0.0874381109222269</f>
        <v>0</v>
      </c>
      <c r="AP191" s="32">
        <f>H191*(1-0.0874381109222269)</f>
        <v>0</v>
      </c>
      <c r="AQ191" s="27" t="s">
        <v>7</v>
      </c>
      <c r="AV191" s="32">
        <f t="shared" si="80"/>
        <v>0</v>
      </c>
      <c r="AW191" s="32">
        <f t="shared" si="81"/>
        <v>0</v>
      </c>
      <c r="AX191" s="32">
        <f t="shared" si="82"/>
        <v>0</v>
      </c>
      <c r="AY191" s="33" t="s">
        <v>701</v>
      </c>
      <c r="AZ191" s="33" t="s">
        <v>720</v>
      </c>
      <c r="BA191" s="28" t="s">
        <v>721</v>
      </c>
      <c r="BC191" s="32">
        <f t="shared" si="83"/>
        <v>0</v>
      </c>
      <c r="BD191" s="32">
        <f t="shared" si="84"/>
        <v>0</v>
      </c>
      <c r="BE191" s="32">
        <v>0</v>
      </c>
      <c r="BF191" s="32">
        <f>195</f>
        <v>195</v>
      </c>
      <c r="BH191" s="12">
        <f t="shared" si="85"/>
        <v>0</v>
      </c>
      <c r="BI191" s="12">
        <f t="shared" si="86"/>
        <v>0</v>
      </c>
      <c r="BJ191" s="12">
        <f t="shared" si="87"/>
        <v>0</v>
      </c>
    </row>
    <row r="192" spans="1:62" x14ac:dyDescent="0.25">
      <c r="A192" s="132" t="s">
        <v>129</v>
      </c>
      <c r="B192" s="132" t="s">
        <v>333</v>
      </c>
      <c r="C192" s="225" t="s">
        <v>548</v>
      </c>
      <c r="D192" s="221"/>
      <c r="E192" s="221"/>
      <c r="F192" s="132" t="s">
        <v>628</v>
      </c>
      <c r="G192" s="77">
        <v>1</v>
      </c>
      <c r="H192" s="17">
        <v>0</v>
      </c>
      <c r="I192" s="12">
        <f t="shared" si="66"/>
        <v>0</v>
      </c>
      <c r="J192" s="12">
        <f t="shared" si="67"/>
        <v>0</v>
      </c>
      <c r="K192" s="12">
        <f t="shared" si="68"/>
        <v>0</v>
      </c>
      <c r="L192" s="37">
        <f>IF(K264=0,0,K192/K264)</f>
        <v>0</v>
      </c>
      <c r="M192" s="27" t="s">
        <v>657</v>
      </c>
      <c r="Z192" s="32">
        <f t="shared" si="69"/>
        <v>0</v>
      </c>
      <c r="AB192" s="32">
        <f t="shared" si="70"/>
        <v>0</v>
      </c>
      <c r="AC192" s="32">
        <f t="shared" si="71"/>
        <v>0</v>
      </c>
      <c r="AD192" s="32">
        <f t="shared" si="72"/>
        <v>0</v>
      </c>
      <c r="AE192" s="32">
        <f t="shared" si="73"/>
        <v>0</v>
      </c>
      <c r="AF192" s="32">
        <f t="shared" si="74"/>
        <v>0</v>
      </c>
      <c r="AG192" s="32">
        <f t="shared" si="75"/>
        <v>0</v>
      </c>
      <c r="AH192" s="32">
        <f t="shared" si="76"/>
        <v>0</v>
      </c>
      <c r="AI192" s="28"/>
      <c r="AJ192" s="12">
        <f t="shared" si="77"/>
        <v>0</v>
      </c>
      <c r="AK192" s="12">
        <f t="shared" si="78"/>
        <v>0</v>
      </c>
      <c r="AL192" s="12">
        <f t="shared" si="79"/>
        <v>0</v>
      </c>
      <c r="AN192" s="32">
        <v>21</v>
      </c>
      <c r="AO192" s="32">
        <f>H192*0</f>
        <v>0</v>
      </c>
      <c r="AP192" s="32">
        <f>H192*(1-0)</f>
        <v>0</v>
      </c>
      <c r="AQ192" s="27" t="s">
        <v>7</v>
      </c>
      <c r="AV192" s="32">
        <f t="shared" si="80"/>
        <v>0</v>
      </c>
      <c r="AW192" s="32">
        <f t="shared" si="81"/>
        <v>0</v>
      </c>
      <c r="AX192" s="32">
        <f t="shared" si="82"/>
        <v>0</v>
      </c>
      <c r="AY192" s="33" t="s">
        <v>701</v>
      </c>
      <c r="AZ192" s="33" t="s">
        <v>720</v>
      </c>
      <c r="BA192" s="28" t="s">
        <v>721</v>
      </c>
      <c r="BC192" s="32">
        <f t="shared" si="83"/>
        <v>0</v>
      </c>
      <c r="BD192" s="32">
        <f t="shared" si="84"/>
        <v>0</v>
      </c>
      <c r="BE192" s="32">
        <v>0</v>
      </c>
      <c r="BF192" s="32">
        <f>196</f>
        <v>196</v>
      </c>
      <c r="BH192" s="12">
        <f t="shared" si="85"/>
        <v>0</v>
      </c>
      <c r="BI192" s="12">
        <f t="shared" si="86"/>
        <v>0</v>
      </c>
      <c r="BJ192" s="12">
        <f t="shared" si="87"/>
        <v>0</v>
      </c>
    </row>
    <row r="193" spans="1:62" x14ac:dyDescent="0.25">
      <c r="A193" s="132" t="s">
        <v>130</v>
      </c>
      <c r="B193" s="132" t="s">
        <v>334</v>
      </c>
      <c r="C193" s="225" t="s">
        <v>549</v>
      </c>
      <c r="D193" s="221"/>
      <c r="E193" s="221"/>
      <c r="F193" s="132" t="s">
        <v>625</v>
      </c>
      <c r="G193" s="77">
        <v>3.5960000000000001</v>
      </c>
      <c r="H193" s="17">
        <v>0</v>
      </c>
      <c r="I193" s="12">
        <f t="shared" si="66"/>
        <v>0</v>
      </c>
      <c r="J193" s="12">
        <f t="shared" si="67"/>
        <v>0</v>
      </c>
      <c r="K193" s="12">
        <f t="shared" si="68"/>
        <v>0</v>
      </c>
      <c r="L193" s="37">
        <f>IF(K264=0,0,K193/K264)</f>
        <v>0</v>
      </c>
      <c r="M193" s="27" t="s">
        <v>657</v>
      </c>
      <c r="Z193" s="32">
        <f t="shared" si="69"/>
        <v>0</v>
      </c>
      <c r="AB193" s="32">
        <f t="shared" si="70"/>
        <v>0</v>
      </c>
      <c r="AC193" s="32">
        <f t="shared" si="71"/>
        <v>0</v>
      </c>
      <c r="AD193" s="32">
        <f t="shared" si="72"/>
        <v>0</v>
      </c>
      <c r="AE193" s="32">
        <f t="shared" si="73"/>
        <v>0</v>
      </c>
      <c r="AF193" s="32">
        <f t="shared" si="74"/>
        <v>0</v>
      </c>
      <c r="AG193" s="32">
        <f t="shared" si="75"/>
        <v>0</v>
      </c>
      <c r="AH193" s="32">
        <f t="shared" si="76"/>
        <v>0</v>
      </c>
      <c r="AI193" s="28"/>
      <c r="AJ193" s="12">
        <f t="shared" si="77"/>
        <v>0</v>
      </c>
      <c r="AK193" s="12">
        <f t="shared" si="78"/>
        <v>0</v>
      </c>
      <c r="AL193" s="12">
        <f t="shared" si="79"/>
        <v>0</v>
      </c>
      <c r="AN193" s="32">
        <v>21</v>
      </c>
      <c r="AO193" s="32">
        <f>H193*0.0965938176895307</f>
        <v>0</v>
      </c>
      <c r="AP193" s="32">
        <f>H193*(1-0.0965938176895307)</f>
        <v>0</v>
      </c>
      <c r="AQ193" s="27" t="s">
        <v>7</v>
      </c>
      <c r="AV193" s="32">
        <f t="shared" si="80"/>
        <v>0</v>
      </c>
      <c r="AW193" s="32">
        <f t="shared" si="81"/>
        <v>0</v>
      </c>
      <c r="AX193" s="32">
        <f t="shared" si="82"/>
        <v>0</v>
      </c>
      <c r="AY193" s="33" t="s">
        <v>701</v>
      </c>
      <c r="AZ193" s="33" t="s">
        <v>720</v>
      </c>
      <c r="BA193" s="28" t="s">
        <v>721</v>
      </c>
      <c r="BC193" s="32">
        <f t="shared" si="83"/>
        <v>0</v>
      </c>
      <c r="BD193" s="32">
        <f t="shared" si="84"/>
        <v>0</v>
      </c>
      <c r="BE193" s="32">
        <v>0</v>
      </c>
      <c r="BF193" s="32">
        <f>197</f>
        <v>197</v>
      </c>
      <c r="BH193" s="12">
        <f t="shared" si="85"/>
        <v>0</v>
      </c>
      <c r="BI193" s="12">
        <f t="shared" si="86"/>
        <v>0</v>
      </c>
      <c r="BJ193" s="12">
        <f t="shared" si="87"/>
        <v>0</v>
      </c>
    </row>
    <row r="194" spans="1:62" x14ac:dyDescent="0.25">
      <c r="A194" s="132" t="s">
        <v>131</v>
      </c>
      <c r="B194" s="132" t="s">
        <v>335</v>
      </c>
      <c r="C194" s="225" t="s">
        <v>550</v>
      </c>
      <c r="D194" s="221"/>
      <c r="E194" s="221"/>
      <c r="F194" s="132" t="s">
        <v>626</v>
      </c>
      <c r="G194" s="77">
        <v>0.28000000000000003</v>
      </c>
      <c r="H194" s="17">
        <v>0</v>
      </c>
      <c r="I194" s="12">
        <f t="shared" si="66"/>
        <v>0</v>
      </c>
      <c r="J194" s="12">
        <f t="shared" si="67"/>
        <v>0</v>
      </c>
      <c r="K194" s="12">
        <f t="shared" si="68"/>
        <v>0</v>
      </c>
      <c r="L194" s="37">
        <f>IF(K264=0,0,K194/K264)</f>
        <v>0</v>
      </c>
      <c r="M194" s="27" t="s">
        <v>657</v>
      </c>
      <c r="Z194" s="32">
        <f t="shared" si="69"/>
        <v>0</v>
      </c>
      <c r="AB194" s="32">
        <f t="shared" si="70"/>
        <v>0</v>
      </c>
      <c r="AC194" s="32">
        <f t="shared" si="71"/>
        <v>0</v>
      </c>
      <c r="AD194" s="32">
        <f t="shared" si="72"/>
        <v>0</v>
      </c>
      <c r="AE194" s="32">
        <f t="shared" si="73"/>
        <v>0</v>
      </c>
      <c r="AF194" s="32">
        <f t="shared" si="74"/>
        <v>0</v>
      </c>
      <c r="AG194" s="32">
        <f t="shared" si="75"/>
        <v>0</v>
      </c>
      <c r="AH194" s="32">
        <f t="shared" si="76"/>
        <v>0</v>
      </c>
      <c r="AI194" s="28"/>
      <c r="AJ194" s="12">
        <f t="shared" si="77"/>
        <v>0</v>
      </c>
      <c r="AK194" s="12">
        <f t="shared" si="78"/>
        <v>0</v>
      </c>
      <c r="AL194" s="12">
        <f t="shared" si="79"/>
        <v>0</v>
      </c>
      <c r="AN194" s="32">
        <v>21</v>
      </c>
      <c r="AO194" s="32">
        <f>H194*0</f>
        <v>0</v>
      </c>
      <c r="AP194" s="32">
        <f>H194*(1-0)</f>
        <v>0</v>
      </c>
      <c r="AQ194" s="27" t="s">
        <v>7</v>
      </c>
      <c r="AV194" s="32">
        <f t="shared" si="80"/>
        <v>0</v>
      </c>
      <c r="AW194" s="32">
        <f t="shared" si="81"/>
        <v>0</v>
      </c>
      <c r="AX194" s="32">
        <f t="shared" si="82"/>
        <v>0</v>
      </c>
      <c r="AY194" s="33" t="s">
        <v>701</v>
      </c>
      <c r="AZ194" s="33" t="s">
        <v>720</v>
      </c>
      <c r="BA194" s="28" t="s">
        <v>721</v>
      </c>
      <c r="BC194" s="32">
        <f t="shared" si="83"/>
        <v>0</v>
      </c>
      <c r="BD194" s="32">
        <f t="shared" si="84"/>
        <v>0</v>
      </c>
      <c r="BE194" s="32">
        <v>0</v>
      </c>
      <c r="BF194" s="32">
        <f>198</f>
        <v>198</v>
      </c>
      <c r="BH194" s="12">
        <f t="shared" si="85"/>
        <v>0</v>
      </c>
      <c r="BI194" s="12">
        <f t="shared" si="86"/>
        <v>0</v>
      </c>
      <c r="BJ194" s="12">
        <f t="shared" si="87"/>
        <v>0</v>
      </c>
    </row>
    <row r="195" spans="1:62" x14ac:dyDescent="0.25">
      <c r="A195" s="132" t="s">
        <v>132</v>
      </c>
      <c r="B195" s="132" t="s">
        <v>336</v>
      </c>
      <c r="C195" s="225" t="s">
        <v>551</v>
      </c>
      <c r="D195" s="221"/>
      <c r="E195" s="221"/>
      <c r="F195" s="132" t="s">
        <v>626</v>
      </c>
      <c r="G195" s="77">
        <v>4.2949999999999999</v>
      </c>
      <c r="H195" s="17">
        <v>0</v>
      </c>
      <c r="I195" s="12">
        <f t="shared" si="66"/>
        <v>0</v>
      </c>
      <c r="J195" s="12">
        <f t="shared" si="67"/>
        <v>0</v>
      </c>
      <c r="K195" s="12">
        <f t="shared" si="68"/>
        <v>0</v>
      </c>
      <c r="L195" s="37">
        <f>IF(K264=0,0,K195/K264)</f>
        <v>0</v>
      </c>
      <c r="M195" s="27" t="s">
        <v>657</v>
      </c>
      <c r="Z195" s="32">
        <f t="shared" si="69"/>
        <v>0</v>
      </c>
      <c r="AB195" s="32">
        <f t="shared" si="70"/>
        <v>0</v>
      </c>
      <c r="AC195" s="32">
        <f t="shared" si="71"/>
        <v>0</v>
      </c>
      <c r="AD195" s="32">
        <f t="shared" si="72"/>
        <v>0</v>
      </c>
      <c r="AE195" s="32">
        <f t="shared" si="73"/>
        <v>0</v>
      </c>
      <c r="AF195" s="32">
        <f t="shared" si="74"/>
        <v>0</v>
      </c>
      <c r="AG195" s="32">
        <f t="shared" si="75"/>
        <v>0</v>
      </c>
      <c r="AH195" s="32">
        <f t="shared" si="76"/>
        <v>0</v>
      </c>
      <c r="AI195" s="28"/>
      <c r="AJ195" s="12">
        <f t="shared" si="77"/>
        <v>0</v>
      </c>
      <c r="AK195" s="12">
        <f t="shared" si="78"/>
        <v>0</v>
      </c>
      <c r="AL195" s="12">
        <f t="shared" si="79"/>
        <v>0</v>
      </c>
      <c r="AN195" s="32">
        <v>21</v>
      </c>
      <c r="AO195" s="32">
        <f>H195*0.0437557621440536</f>
        <v>0</v>
      </c>
      <c r="AP195" s="32">
        <f>H195*(1-0.0437557621440536)</f>
        <v>0</v>
      </c>
      <c r="AQ195" s="27" t="s">
        <v>7</v>
      </c>
      <c r="AV195" s="32">
        <f t="shared" si="80"/>
        <v>0</v>
      </c>
      <c r="AW195" s="32">
        <f t="shared" si="81"/>
        <v>0</v>
      </c>
      <c r="AX195" s="32">
        <f t="shared" si="82"/>
        <v>0</v>
      </c>
      <c r="AY195" s="33" t="s">
        <v>701</v>
      </c>
      <c r="AZ195" s="33" t="s">
        <v>720</v>
      </c>
      <c r="BA195" s="28" t="s">
        <v>721</v>
      </c>
      <c r="BC195" s="32">
        <f t="shared" si="83"/>
        <v>0</v>
      </c>
      <c r="BD195" s="32">
        <f t="shared" si="84"/>
        <v>0</v>
      </c>
      <c r="BE195" s="32">
        <v>0</v>
      </c>
      <c r="BF195" s="32">
        <f>199</f>
        <v>199</v>
      </c>
      <c r="BH195" s="12">
        <f t="shared" si="85"/>
        <v>0</v>
      </c>
      <c r="BI195" s="12">
        <f t="shared" si="86"/>
        <v>0</v>
      </c>
      <c r="BJ195" s="12">
        <f t="shared" si="87"/>
        <v>0</v>
      </c>
    </row>
    <row r="196" spans="1:62" x14ac:dyDescent="0.25">
      <c r="A196" s="132" t="s">
        <v>133</v>
      </c>
      <c r="B196" s="132" t="s">
        <v>337</v>
      </c>
      <c r="C196" s="225" t="s">
        <v>552</v>
      </c>
      <c r="D196" s="221"/>
      <c r="E196" s="221"/>
      <c r="F196" s="132" t="s">
        <v>628</v>
      </c>
      <c r="G196" s="77">
        <v>3</v>
      </c>
      <c r="H196" s="17">
        <v>0</v>
      </c>
      <c r="I196" s="12">
        <f t="shared" si="66"/>
        <v>0</v>
      </c>
      <c r="J196" s="12">
        <f t="shared" si="67"/>
        <v>0</v>
      </c>
      <c r="K196" s="12">
        <f t="shared" si="68"/>
        <v>0</v>
      </c>
      <c r="L196" s="37">
        <f>IF(K264=0,0,K196/K264)</f>
        <v>0</v>
      </c>
      <c r="M196" s="27" t="s">
        <v>657</v>
      </c>
      <c r="Z196" s="32">
        <f t="shared" si="69"/>
        <v>0</v>
      </c>
      <c r="AB196" s="32">
        <f t="shared" si="70"/>
        <v>0</v>
      </c>
      <c r="AC196" s="32">
        <f t="shared" si="71"/>
        <v>0</v>
      </c>
      <c r="AD196" s="32">
        <f t="shared" si="72"/>
        <v>0</v>
      </c>
      <c r="AE196" s="32">
        <f t="shared" si="73"/>
        <v>0</v>
      </c>
      <c r="AF196" s="32">
        <f t="shared" si="74"/>
        <v>0</v>
      </c>
      <c r="AG196" s="32">
        <f t="shared" si="75"/>
        <v>0</v>
      </c>
      <c r="AH196" s="32">
        <f t="shared" si="76"/>
        <v>0</v>
      </c>
      <c r="AI196" s="28"/>
      <c r="AJ196" s="12">
        <f t="shared" si="77"/>
        <v>0</v>
      </c>
      <c r="AK196" s="12">
        <f t="shared" si="78"/>
        <v>0</v>
      </c>
      <c r="AL196" s="12">
        <f t="shared" si="79"/>
        <v>0</v>
      </c>
      <c r="AN196" s="32">
        <v>21</v>
      </c>
      <c r="AO196" s="32">
        <f>H196*0</f>
        <v>0</v>
      </c>
      <c r="AP196" s="32">
        <f>H196*(1-0)</f>
        <v>0</v>
      </c>
      <c r="AQ196" s="27" t="s">
        <v>7</v>
      </c>
      <c r="AV196" s="32">
        <f t="shared" si="80"/>
        <v>0</v>
      </c>
      <c r="AW196" s="32">
        <f t="shared" si="81"/>
        <v>0</v>
      </c>
      <c r="AX196" s="32">
        <f t="shared" si="82"/>
        <v>0</v>
      </c>
      <c r="AY196" s="33" t="s">
        <v>701</v>
      </c>
      <c r="AZ196" s="33" t="s">
        <v>720</v>
      </c>
      <c r="BA196" s="28" t="s">
        <v>721</v>
      </c>
      <c r="BC196" s="32">
        <f t="shared" si="83"/>
        <v>0</v>
      </c>
      <c r="BD196" s="32">
        <f t="shared" si="84"/>
        <v>0</v>
      </c>
      <c r="BE196" s="32">
        <v>0</v>
      </c>
      <c r="BF196" s="32">
        <f>200</f>
        <v>200</v>
      </c>
      <c r="BH196" s="12">
        <f t="shared" si="85"/>
        <v>0</v>
      </c>
      <c r="BI196" s="12">
        <f t="shared" si="86"/>
        <v>0</v>
      </c>
      <c r="BJ196" s="12">
        <f t="shared" si="87"/>
        <v>0</v>
      </c>
    </row>
    <row r="197" spans="1:62" x14ac:dyDescent="0.25">
      <c r="A197" s="132" t="s">
        <v>134</v>
      </c>
      <c r="B197" s="132" t="s">
        <v>338</v>
      </c>
      <c r="C197" s="225" t="s">
        <v>553</v>
      </c>
      <c r="D197" s="221"/>
      <c r="E197" s="221"/>
      <c r="F197" s="132" t="s">
        <v>628</v>
      </c>
      <c r="G197" s="77">
        <v>3</v>
      </c>
      <c r="H197" s="17">
        <v>0</v>
      </c>
      <c r="I197" s="12">
        <f t="shared" si="66"/>
        <v>0</v>
      </c>
      <c r="J197" s="12">
        <f t="shared" si="67"/>
        <v>0</v>
      </c>
      <c r="K197" s="12">
        <f t="shared" si="68"/>
        <v>0</v>
      </c>
      <c r="L197" s="37">
        <f>IF(K264=0,0,K197/K264)</f>
        <v>0</v>
      </c>
      <c r="M197" s="27" t="s">
        <v>657</v>
      </c>
      <c r="Z197" s="32">
        <f t="shared" si="69"/>
        <v>0</v>
      </c>
      <c r="AB197" s="32">
        <f t="shared" si="70"/>
        <v>0</v>
      </c>
      <c r="AC197" s="32">
        <f t="shared" si="71"/>
        <v>0</v>
      </c>
      <c r="AD197" s="32">
        <f t="shared" si="72"/>
        <v>0</v>
      </c>
      <c r="AE197" s="32">
        <f t="shared" si="73"/>
        <v>0</v>
      </c>
      <c r="AF197" s="32">
        <f t="shared" si="74"/>
        <v>0</v>
      </c>
      <c r="AG197" s="32">
        <f t="shared" si="75"/>
        <v>0</v>
      </c>
      <c r="AH197" s="32">
        <f t="shared" si="76"/>
        <v>0</v>
      </c>
      <c r="AI197" s="28"/>
      <c r="AJ197" s="12">
        <f t="shared" si="77"/>
        <v>0</v>
      </c>
      <c r="AK197" s="12">
        <f t="shared" si="78"/>
        <v>0</v>
      </c>
      <c r="AL197" s="12">
        <f t="shared" si="79"/>
        <v>0</v>
      </c>
      <c r="AN197" s="32">
        <v>21</v>
      </c>
      <c r="AO197" s="32">
        <f>H197*0</f>
        <v>0</v>
      </c>
      <c r="AP197" s="32">
        <f>H197*(1-0)</f>
        <v>0</v>
      </c>
      <c r="AQ197" s="27" t="s">
        <v>7</v>
      </c>
      <c r="AV197" s="32">
        <f t="shared" si="80"/>
        <v>0</v>
      </c>
      <c r="AW197" s="32">
        <f t="shared" si="81"/>
        <v>0</v>
      </c>
      <c r="AX197" s="32">
        <f t="shared" si="82"/>
        <v>0</v>
      </c>
      <c r="AY197" s="33" t="s">
        <v>701</v>
      </c>
      <c r="AZ197" s="33" t="s">
        <v>720</v>
      </c>
      <c r="BA197" s="28" t="s">
        <v>721</v>
      </c>
      <c r="BC197" s="32">
        <f t="shared" si="83"/>
        <v>0</v>
      </c>
      <c r="BD197" s="32">
        <f t="shared" si="84"/>
        <v>0</v>
      </c>
      <c r="BE197" s="32">
        <v>0</v>
      </c>
      <c r="BF197" s="32">
        <f>201</f>
        <v>201</v>
      </c>
      <c r="BH197" s="12">
        <f t="shared" si="85"/>
        <v>0</v>
      </c>
      <c r="BI197" s="12">
        <f t="shared" si="86"/>
        <v>0</v>
      </c>
      <c r="BJ197" s="12">
        <f t="shared" si="87"/>
        <v>0</v>
      </c>
    </row>
    <row r="198" spans="1:62" x14ac:dyDescent="0.25">
      <c r="A198" s="132" t="s">
        <v>135</v>
      </c>
      <c r="B198" s="132" t="s">
        <v>339</v>
      </c>
      <c r="C198" s="225" t="s">
        <v>554</v>
      </c>
      <c r="D198" s="221"/>
      <c r="E198" s="221"/>
      <c r="F198" s="132" t="s">
        <v>625</v>
      </c>
      <c r="G198" s="77">
        <v>10.35</v>
      </c>
      <c r="H198" s="17">
        <v>0</v>
      </c>
      <c r="I198" s="12">
        <f t="shared" si="66"/>
        <v>0</v>
      </c>
      <c r="J198" s="12">
        <f t="shared" si="67"/>
        <v>0</v>
      </c>
      <c r="K198" s="12">
        <f t="shared" si="68"/>
        <v>0</v>
      </c>
      <c r="L198" s="37">
        <f>IF(K264=0,0,K198/K264)</f>
        <v>0</v>
      </c>
      <c r="M198" s="27" t="s">
        <v>657</v>
      </c>
      <c r="Z198" s="32">
        <f t="shared" si="69"/>
        <v>0</v>
      </c>
      <c r="AB198" s="32">
        <f t="shared" si="70"/>
        <v>0</v>
      </c>
      <c r="AC198" s="32">
        <f t="shared" si="71"/>
        <v>0</v>
      </c>
      <c r="AD198" s="32">
        <f t="shared" si="72"/>
        <v>0</v>
      </c>
      <c r="AE198" s="32">
        <f t="shared" si="73"/>
        <v>0</v>
      </c>
      <c r="AF198" s="32">
        <f t="shared" si="74"/>
        <v>0</v>
      </c>
      <c r="AG198" s="32">
        <f t="shared" si="75"/>
        <v>0</v>
      </c>
      <c r="AH198" s="32">
        <f t="shared" si="76"/>
        <v>0</v>
      </c>
      <c r="AI198" s="28"/>
      <c r="AJ198" s="12">
        <f t="shared" si="77"/>
        <v>0</v>
      </c>
      <c r="AK198" s="12">
        <f t="shared" si="78"/>
        <v>0</v>
      </c>
      <c r="AL198" s="12">
        <f t="shared" si="79"/>
        <v>0</v>
      </c>
      <c r="AN198" s="32">
        <v>21</v>
      </c>
      <c r="AO198" s="32">
        <f>H198*0.185288345864662</f>
        <v>0</v>
      </c>
      <c r="AP198" s="32">
        <f>H198*(1-0.185288345864662)</f>
        <v>0</v>
      </c>
      <c r="AQ198" s="27" t="s">
        <v>7</v>
      </c>
      <c r="AV198" s="32">
        <f t="shared" si="80"/>
        <v>0</v>
      </c>
      <c r="AW198" s="32">
        <f t="shared" si="81"/>
        <v>0</v>
      </c>
      <c r="AX198" s="32">
        <f t="shared" si="82"/>
        <v>0</v>
      </c>
      <c r="AY198" s="33" t="s">
        <v>701</v>
      </c>
      <c r="AZ198" s="33" t="s">
        <v>720</v>
      </c>
      <c r="BA198" s="28" t="s">
        <v>721</v>
      </c>
      <c r="BC198" s="32">
        <f t="shared" si="83"/>
        <v>0</v>
      </c>
      <c r="BD198" s="32">
        <f t="shared" si="84"/>
        <v>0</v>
      </c>
      <c r="BE198" s="32">
        <v>0</v>
      </c>
      <c r="BF198" s="32">
        <f>202</f>
        <v>202</v>
      </c>
      <c r="BH198" s="12">
        <f t="shared" si="85"/>
        <v>0</v>
      </c>
      <c r="BI198" s="12">
        <f t="shared" si="86"/>
        <v>0</v>
      </c>
      <c r="BJ198" s="12">
        <f t="shared" si="87"/>
        <v>0</v>
      </c>
    </row>
    <row r="199" spans="1:62" x14ac:dyDescent="0.25">
      <c r="A199" s="137" t="s">
        <v>136</v>
      </c>
      <c r="B199" s="137" t="s">
        <v>340</v>
      </c>
      <c r="C199" s="223" t="s">
        <v>555</v>
      </c>
      <c r="D199" s="221"/>
      <c r="E199" s="224"/>
      <c r="F199" s="137" t="s">
        <v>625</v>
      </c>
      <c r="G199" s="92">
        <v>13.19</v>
      </c>
      <c r="H199" s="17">
        <v>0</v>
      </c>
      <c r="I199" s="93">
        <f t="shared" si="66"/>
        <v>0</v>
      </c>
      <c r="J199" s="93">
        <f t="shared" si="67"/>
        <v>0</v>
      </c>
      <c r="K199" s="93">
        <f t="shared" si="68"/>
        <v>0</v>
      </c>
      <c r="L199" s="94">
        <f>IF(K264=0,0,K199/K264)</f>
        <v>0</v>
      </c>
      <c r="M199" s="95" t="s">
        <v>657</v>
      </c>
      <c r="Z199" s="32">
        <f t="shared" si="69"/>
        <v>0</v>
      </c>
      <c r="AB199" s="32">
        <f t="shared" si="70"/>
        <v>0</v>
      </c>
      <c r="AC199" s="32">
        <f t="shared" si="71"/>
        <v>0</v>
      </c>
      <c r="AD199" s="32">
        <f t="shared" si="72"/>
        <v>0</v>
      </c>
      <c r="AE199" s="32">
        <f t="shared" si="73"/>
        <v>0</v>
      </c>
      <c r="AF199" s="32">
        <f t="shared" si="74"/>
        <v>0</v>
      </c>
      <c r="AG199" s="32">
        <f t="shared" si="75"/>
        <v>0</v>
      </c>
      <c r="AH199" s="32">
        <f t="shared" si="76"/>
        <v>0</v>
      </c>
      <c r="AI199" s="28"/>
      <c r="AJ199" s="12">
        <f t="shared" si="77"/>
        <v>0</v>
      </c>
      <c r="AK199" s="12">
        <f t="shared" si="78"/>
        <v>0</v>
      </c>
      <c r="AL199" s="12">
        <f t="shared" si="79"/>
        <v>0</v>
      </c>
      <c r="AN199" s="32">
        <v>21</v>
      </c>
      <c r="AO199" s="32">
        <f>H199*0</f>
        <v>0</v>
      </c>
      <c r="AP199" s="32">
        <f>H199*(1-0)</f>
        <v>0</v>
      </c>
      <c r="AQ199" s="27" t="s">
        <v>7</v>
      </c>
      <c r="AV199" s="32">
        <f t="shared" si="80"/>
        <v>0</v>
      </c>
      <c r="AW199" s="32">
        <f t="shared" si="81"/>
        <v>0</v>
      </c>
      <c r="AX199" s="32">
        <f t="shared" si="82"/>
        <v>0</v>
      </c>
      <c r="AY199" s="33" t="s">
        <v>701</v>
      </c>
      <c r="AZ199" s="33" t="s">
        <v>720</v>
      </c>
      <c r="BA199" s="28" t="s">
        <v>721</v>
      </c>
      <c r="BC199" s="32">
        <f t="shared" si="83"/>
        <v>0</v>
      </c>
      <c r="BD199" s="32">
        <f t="shared" si="84"/>
        <v>0</v>
      </c>
      <c r="BE199" s="32">
        <v>0</v>
      </c>
      <c r="BF199" s="32">
        <f>203</f>
        <v>203</v>
      </c>
      <c r="BH199" s="12">
        <f t="shared" si="85"/>
        <v>0</v>
      </c>
      <c r="BI199" s="12">
        <f t="shared" si="86"/>
        <v>0</v>
      </c>
      <c r="BJ199" s="12">
        <f t="shared" si="87"/>
        <v>0</v>
      </c>
    </row>
    <row r="200" spans="1:62" x14ac:dyDescent="0.25">
      <c r="A200" s="274"/>
      <c r="B200" s="274"/>
      <c r="C200" s="228" t="s">
        <v>556</v>
      </c>
      <c r="D200" s="229"/>
      <c r="E200" s="229"/>
      <c r="F200" s="274"/>
      <c r="G200" s="274"/>
      <c r="H200" s="19"/>
      <c r="I200" s="274"/>
      <c r="J200" s="274"/>
      <c r="K200" s="274"/>
      <c r="L200" s="274"/>
      <c r="M200" s="274"/>
    </row>
    <row r="201" spans="1:62" x14ac:dyDescent="0.25">
      <c r="A201" s="137" t="s">
        <v>137</v>
      </c>
      <c r="B201" s="137" t="s">
        <v>341</v>
      </c>
      <c r="C201" s="223" t="s">
        <v>557</v>
      </c>
      <c r="D201" s="221"/>
      <c r="E201" s="224"/>
      <c r="F201" s="137" t="s">
        <v>626</v>
      </c>
      <c r="G201" s="92">
        <v>0.92300000000000004</v>
      </c>
      <c r="H201" s="17">
        <v>0</v>
      </c>
      <c r="I201" s="93">
        <f>G201*AO201</f>
        <v>0</v>
      </c>
      <c r="J201" s="93">
        <f>G201*AP201</f>
        <v>0</v>
      </c>
      <c r="K201" s="93">
        <f>G201*H201</f>
        <v>0</v>
      </c>
      <c r="L201" s="94">
        <f>IF(K264=0,0,K201/K264)</f>
        <v>0</v>
      </c>
      <c r="M201" s="95" t="s">
        <v>657</v>
      </c>
      <c r="Z201" s="32">
        <f>IF(AQ201="5",BJ201,0)</f>
        <v>0</v>
      </c>
      <c r="AB201" s="32">
        <f>IF(AQ201="1",BH201,0)</f>
        <v>0</v>
      </c>
      <c r="AC201" s="32">
        <f>IF(AQ201="1",BI201,0)</f>
        <v>0</v>
      </c>
      <c r="AD201" s="32">
        <f>IF(AQ201="7",BH201,0)</f>
        <v>0</v>
      </c>
      <c r="AE201" s="32">
        <f>IF(AQ201="7",BI201,0)</f>
        <v>0</v>
      </c>
      <c r="AF201" s="32">
        <f>IF(AQ201="2",BH201,0)</f>
        <v>0</v>
      </c>
      <c r="AG201" s="32">
        <f>IF(AQ201="2",BI201,0)</f>
        <v>0</v>
      </c>
      <c r="AH201" s="32">
        <f>IF(AQ201="0",BJ201,0)</f>
        <v>0</v>
      </c>
      <c r="AI201" s="28"/>
      <c r="AJ201" s="12">
        <f>IF(AN201=0,K201,0)</f>
        <v>0</v>
      </c>
      <c r="AK201" s="12">
        <f>IF(AN201=15,K201,0)</f>
        <v>0</v>
      </c>
      <c r="AL201" s="12">
        <f>IF(AN201=21,K201,0)</f>
        <v>0</v>
      </c>
      <c r="AN201" s="32">
        <v>21</v>
      </c>
      <c r="AO201" s="32">
        <f>H201*0</f>
        <v>0</v>
      </c>
      <c r="AP201" s="32">
        <f>H201*(1-0)</f>
        <v>0</v>
      </c>
      <c r="AQ201" s="27" t="s">
        <v>7</v>
      </c>
      <c r="AV201" s="32">
        <f>AW201+AX201</f>
        <v>0</v>
      </c>
      <c r="AW201" s="32">
        <f>G201*AO201</f>
        <v>0</v>
      </c>
      <c r="AX201" s="32">
        <f>G201*AP201</f>
        <v>0</v>
      </c>
      <c r="AY201" s="33" t="s">
        <v>701</v>
      </c>
      <c r="AZ201" s="33" t="s">
        <v>720</v>
      </c>
      <c r="BA201" s="28" t="s">
        <v>721</v>
      </c>
      <c r="BC201" s="32">
        <f>AW201+AX201</f>
        <v>0</v>
      </c>
      <c r="BD201" s="32">
        <f>H201/(100-BE201)*100</f>
        <v>0</v>
      </c>
      <c r="BE201" s="32">
        <v>0</v>
      </c>
      <c r="BF201" s="32">
        <f>205</f>
        <v>205</v>
      </c>
      <c r="BH201" s="12">
        <f>G201*AO201</f>
        <v>0</v>
      </c>
      <c r="BI201" s="12">
        <f>G201*AP201</f>
        <v>0</v>
      </c>
      <c r="BJ201" s="12">
        <f>G201*H201</f>
        <v>0</v>
      </c>
    </row>
    <row r="202" spans="1:62" x14ac:dyDescent="0.25">
      <c r="A202" s="274"/>
      <c r="B202" s="274"/>
      <c r="C202" s="228" t="s">
        <v>558</v>
      </c>
      <c r="D202" s="229"/>
      <c r="E202" s="229"/>
      <c r="F202" s="274"/>
      <c r="G202" s="274"/>
      <c r="H202" s="19"/>
      <c r="I202" s="274"/>
      <c r="J202" s="274"/>
      <c r="K202" s="274"/>
      <c r="L202" s="274"/>
      <c r="M202" s="274"/>
    </row>
    <row r="203" spans="1:62" x14ac:dyDescent="0.25">
      <c r="A203" s="132" t="s">
        <v>138</v>
      </c>
      <c r="B203" s="132" t="s">
        <v>342</v>
      </c>
      <c r="C203" s="225" t="s">
        <v>559</v>
      </c>
      <c r="D203" s="221"/>
      <c r="E203" s="221"/>
      <c r="F203" s="132" t="s">
        <v>626</v>
      </c>
      <c r="G203" s="77">
        <v>33.165999999999997</v>
      </c>
      <c r="H203" s="17">
        <v>0</v>
      </c>
      <c r="I203" s="12">
        <f>G203*AO203</f>
        <v>0</v>
      </c>
      <c r="J203" s="12">
        <f>G203*AP203</f>
        <v>0</v>
      </c>
      <c r="K203" s="12">
        <f>G203*H203</f>
        <v>0</v>
      </c>
      <c r="L203" s="37">
        <f>IF(K264=0,0,K203/K264)</f>
        <v>0</v>
      </c>
      <c r="M203" s="27" t="s">
        <v>657</v>
      </c>
      <c r="Z203" s="32">
        <f>IF(AQ203="5",BJ203,0)</f>
        <v>0</v>
      </c>
      <c r="AB203" s="32">
        <f>IF(AQ203="1",BH203,0)</f>
        <v>0</v>
      </c>
      <c r="AC203" s="32">
        <f>IF(AQ203="1",BI203,0)</f>
        <v>0</v>
      </c>
      <c r="AD203" s="32">
        <f>IF(AQ203="7",BH203,0)</f>
        <v>0</v>
      </c>
      <c r="AE203" s="32">
        <f>IF(AQ203="7",BI203,0)</f>
        <v>0</v>
      </c>
      <c r="AF203" s="32">
        <f>IF(AQ203="2",BH203,0)</f>
        <v>0</v>
      </c>
      <c r="AG203" s="32">
        <f>IF(AQ203="2",BI203,0)</f>
        <v>0</v>
      </c>
      <c r="AH203" s="32">
        <f>IF(AQ203="0",BJ203,0)</f>
        <v>0</v>
      </c>
      <c r="AI203" s="28"/>
      <c r="AJ203" s="12">
        <f>IF(AN203=0,K203,0)</f>
        <v>0</v>
      </c>
      <c r="AK203" s="12">
        <f>IF(AN203=15,K203,0)</f>
        <v>0</v>
      </c>
      <c r="AL203" s="12">
        <f>IF(AN203=21,K203,0)</f>
        <v>0</v>
      </c>
      <c r="AN203" s="32">
        <v>21</v>
      </c>
      <c r="AO203" s="32">
        <f>H203*0</f>
        <v>0</v>
      </c>
      <c r="AP203" s="32">
        <f>H203*(1-0)</f>
        <v>0</v>
      </c>
      <c r="AQ203" s="27" t="s">
        <v>7</v>
      </c>
      <c r="AV203" s="32">
        <f>AW203+AX203</f>
        <v>0</v>
      </c>
      <c r="AW203" s="32">
        <f>G203*AO203</f>
        <v>0</v>
      </c>
      <c r="AX203" s="32">
        <f>G203*AP203</f>
        <v>0</v>
      </c>
      <c r="AY203" s="33" t="s">
        <v>701</v>
      </c>
      <c r="AZ203" s="33" t="s">
        <v>720</v>
      </c>
      <c r="BA203" s="28" t="s">
        <v>721</v>
      </c>
      <c r="BC203" s="32">
        <f>AW203+AX203</f>
        <v>0</v>
      </c>
      <c r="BD203" s="32">
        <f>H203/(100-BE203)*100</f>
        <v>0</v>
      </c>
      <c r="BE203" s="32">
        <v>0</v>
      </c>
      <c r="BF203" s="32">
        <f>207</f>
        <v>207</v>
      </c>
      <c r="BH203" s="12">
        <f>G203*AO203</f>
        <v>0</v>
      </c>
      <c r="BI203" s="12">
        <f>G203*AP203</f>
        <v>0</v>
      </c>
      <c r="BJ203" s="12">
        <f>G203*H203</f>
        <v>0</v>
      </c>
    </row>
    <row r="204" spans="1:62" x14ac:dyDescent="0.25">
      <c r="A204" s="274"/>
      <c r="B204" s="274"/>
      <c r="C204" s="228" t="s">
        <v>560</v>
      </c>
      <c r="D204" s="229"/>
      <c r="E204" s="229"/>
      <c r="F204" s="274"/>
      <c r="G204" s="274"/>
      <c r="H204" s="19"/>
      <c r="I204" s="274"/>
      <c r="J204" s="274"/>
      <c r="K204" s="274"/>
      <c r="L204" s="274"/>
      <c r="M204" s="274"/>
    </row>
    <row r="205" spans="1:62" x14ac:dyDescent="0.25">
      <c r="A205" s="132" t="s">
        <v>139</v>
      </c>
      <c r="B205" s="132" t="s">
        <v>343</v>
      </c>
      <c r="C205" s="225" t="s">
        <v>561</v>
      </c>
      <c r="D205" s="221"/>
      <c r="E205" s="221"/>
      <c r="F205" s="132" t="s">
        <v>625</v>
      </c>
      <c r="G205" s="77">
        <v>35.270000000000003</v>
      </c>
      <c r="H205" s="17">
        <v>0</v>
      </c>
      <c r="I205" s="12">
        <f>G205*AO205</f>
        <v>0</v>
      </c>
      <c r="J205" s="12">
        <f>G205*AP205</f>
        <v>0</v>
      </c>
      <c r="K205" s="12">
        <f>G205*H205</f>
        <v>0</v>
      </c>
      <c r="L205" s="37">
        <f>IF(K264=0,0,K205/K264)</f>
        <v>0</v>
      </c>
      <c r="M205" s="27" t="s">
        <v>657</v>
      </c>
      <c r="Z205" s="32">
        <f>IF(AQ205="5",BJ205,0)</f>
        <v>0</v>
      </c>
      <c r="AB205" s="32">
        <f>IF(AQ205="1",BH205,0)</f>
        <v>0</v>
      </c>
      <c r="AC205" s="32">
        <f>IF(AQ205="1",BI205,0)</f>
        <v>0</v>
      </c>
      <c r="AD205" s="32">
        <f>IF(AQ205="7",BH205,0)</f>
        <v>0</v>
      </c>
      <c r="AE205" s="32">
        <f>IF(AQ205="7",BI205,0)</f>
        <v>0</v>
      </c>
      <c r="AF205" s="32">
        <f>IF(AQ205="2",BH205,0)</f>
        <v>0</v>
      </c>
      <c r="AG205" s="32">
        <f>IF(AQ205="2",BI205,0)</f>
        <v>0</v>
      </c>
      <c r="AH205" s="32">
        <f>IF(AQ205="0",BJ205,0)</f>
        <v>0</v>
      </c>
      <c r="AI205" s="28"/>
      <c r="AJ205" s="12">
        <f>IF(AN205=0,K205,0)</f>
        <v>0</v>
      </c>
      <c r="AK205" s="12">
        <f>IF(AN205=15,K205,0)</f>
        <v>0</v>
      </c>
      <c r="AL205" s="12">
        <f>IF(AN205=21,K205,0)</f>
        <v>0</v>
      </c>
      <c r="AN205" s="32">
        <v>21</v>
      </c>
      <c r="AO205" s="32">
        <f>H205*0.0678451592403393</f>
        <v>0</v>
      </c>
      <c r="AP205" s="32">
        <f>H205*(1-0.0678451592403393)</f>
        <v>0</v>
      </c>
      <c r="AQ205" s="27" t="s">
        <v>7</v>
      </c>
      <c r="AV205" s="32">
        <f>AW205+AX205</f>
        <v>0</v>
      </c>
      <c r="AW205" s="32">
        <f>G205*AO205</f>
        <v>0</v>
      </c>
      <c r="AX205" s="32">
        <f>G205*AP205</f>
        <v>0</v>
      </c>
      <c r="AY205" s="33" t="s">
        <v>701</v>
      </c>
      <c r="AZ205" s="33" t="s">
        <v>720</v>
      </c>
      <c r="BA205" s="28" t="s">
        <v>721</v>
      </c>
      <c r="BC205" s="32">
        <f>AW205+AX205</f>
        <v>0</v>
      </c>
      <c r="BD205" s="32">
        <f>H205/(100-BE205)*100</f>
        <v>0</v>
      </c>
      <c r="BE205" s="32">
        <v>0</v>
      </c>
      <c r="BF205" s="32">
        <f>209</f>
        <v>209</v>
      </c>
      <c r="BH205" s="12">
        <f>G205*AO205</f>
        <v>0</v>
      </c>
      <c r="BI205" s="12">
        <f>G205*AP205</f>
        <v>0</v>
      </c>
      <c r="BJ205" s="12">
        <f>G205*H205</f>
        <v>0</v>
      </c>
    </row>
    <row r="206" spans="1:62" x14ac:dyDescent="0.25">
      <c r="A206" s="132" t="s">
        <v>140</v>
      </c>
      <c r="B206" s="132" t="s">
        <v>344</v>
      </c>
      <c r="C206" s="225" t="s">
        <v>562</v>
      </c>
      <c r="D206" s="221"/>
      <c r="E206" s="221"/>
      <c r="F206" s="132" t="s">
        <v>628</v>
      </c>
      <c r="G206" s="77">
        <v>4</v>
      </c>
      <c r="H206" s="17">
        <v>0</v>
      </c>
      <c r="I206" s="12">
        <f>G206*AO206</f>
        <v>0</v>
      </c>
      <c r="J206" s="12">
        <f>G206*AP206</f>
        <v>0</v>
      </c>
      <c r="K206" s="12">
        <f>G206*H206</f>
        <v>0</v>
      </c>
      <c r="L206" s="37">
        <f>IF(K264=0,0,K206/K264)</f>
        <v>0</v>
      </c>
      <c r="M206" s="27" t="s">
        <v>657</v>
      </c>
      <c r="Z206" s="32">
        <f>IF(AQ206="5",BJ206,0)</f>
        <v>0</v>
      </c>
      <c r="AB206" s="32">
        <f>IF(AQ206="1",BH206,0)</f>
        <v>0</v>
      </c>
      <c r="AC206" s="32">
        <f>IF(AQ206="1",BI206,0)</f>
        <v>0</v>
      </c>
      <c r="AD206" s="32">
        <f>IF(AQ206="7",BH206,0)</f>
        <v>0</v>
      </c>
      <c r="AE206" s="32">
        <f>IF(AQ206="7",BI206,0)</f>
        <v>0</v>
      </c>
      <c r="AF206" s="32">
        <f>IF(AQ206="2",BH206,0)</f>
        <v>0</v>
      </c>
      <c r="AG206" s="32">
        <f>IF(AQ206="2",BI206,0)</f>
        <v>0</v>
      </c>
      <c r="AH206" s="32">
        <f>IF(AQ206="0",BJ206,0)</f>
        <v>0</v>
      </c>
      <c r="AI206" s="28"/>
      <c r="AJ206" s="12">
        <f>IF(AN206=0,K206,0)</f>
        <v>0</v>
      </c>
      <c r="AK206" s="12">
        <f>IF(AN206=15,K206,0)</f>
        <v>0</v>
      </c>
      <c r="AL206" s="12">
        <f>IF(AN206=21,K206,0)</f>
        <v>0</v>
      </c>
      <c r="AN206" s="32">
        <v>21</v>
      </c>
      <c r="AO206" s="32">
        <f>H206*0</f>
        <v>0</v>
      </c>
      <c r="AP206" s="32">
        <f>H206*(1-0)</f>
        <v>0</v>
      </c>
      <c r="AQ206" s="27" t="s">
        <v>7</v>
      </c>
      <c r="AV206" s="32">
        <f>AW206+AX206</f>
        <v>0</v>
      </c>
      <c r="AW206" s="32">
        <f>G206*AO206</f>
        <v>0</v>
      </c>
      <c r="AX206" s="32">
        <f>G206*AP206</f>
        <v>0</v>
      </c>
      <c r="AY206" s="33" t="s">
        <v>701</v>
      </c>
      <c r="AZ206" s="33" t="s">
        <v>720</v>
      </c>
      <c r="BA206" s="28" t="s">
        <v>721</v>
      </c>
      <c r="BC206" s="32">
        <f>AW206+AX206</f>
        <v>0</v>
      </c>
      <c r="BD206" s="32">
        <f>H206/(100-BE206)*100</f>
        <v>0</v>
      </c>
      <c r="BE206" s="32">
        <v>0</v>
      </c>
      <c r="BF206" s="32">
        <f>210</f>
        <v>210</v>
      </c>
      <c r="BH206" s="12">
        <f>G206*AO206</f>
        <v>0</v>
      </c>
      <c r="BI206" s="12">
        <f>G206*AP206</f>
        <v>0</v>
      </c>
      <c r="BJ206" s="12">
        <f>G206*H206</f>
        <v>0</v>
      </c>
    </row>
    <row r="207" spans="1:62" x14ac:dyDescent="0.25">
      <c r="A207" s="132" t="s">
        <v>141</v>
      </c>
      <c r="B207" s="132" t="s">
        <v>345</v>
      </c>
      <c r="C207" s="225" t="s">
        <v>563</v>
      </c>
      <c r="D207" s="221"/>
      <c r="E207" s="221"/>
      <c r="F207" s="132" t="s">
        <v>625</v>
      </c>
      <c r="G207" s="77">
        <v>11.52</v>
      </c>
      <c r="H207" s="17">
        <v>0</v>
      </c>
      <c r="I207" s="12">
        <f>G207*AO207</f>
        <v>0</v>
      </c>
      <c r="J207" s="12">
        <f>G207*AP207</f>
        <v>0</v>
      </c>
      <c r="K207" s="12">
        <f>G207*H207</f>
        <v>0</v>
      </c>
      <c r="L207" s="37">
        <f>IF(K264=0,0,K207/K264)</f>
        <v>0</v>
      </c>
      <c r="M207" s="27" t="s">
        <v>657</v>
      </c>
      <c r="Z207" s="32">
        <f>IF(AQ207="5",BJ207,0)</f>
        <v>0</v>
      </c>
      <c r="AB207" s="32">
        <f>IF(AQ207="1",BH207,0)</f>
        <v>0</v>
      </c>
      <c r="AC207" s="32">
        <f>IF(AQ207="1",BI207,0)</f>
        <v>0</v>
      </c>
      <c r="AD207" s="32">
        <f>IF(AQ207="7",BH207,0)</f>
        <v>0</v>
      </c>
      <c r="AE207" s="32">
        <f>IF(AQ207="7",BI207,0)</f>
        <v>0</v>
      </c>
      <c r="AF207" s="32">
        <f>IF(AQ207="2",BH207,0)</f>
        <v>0</v>
      </c>
      <c r="AG207" s="32">
        <f>IF(AQ207="2",BI207,0)</f>
        <v>0</v>
      </c>
      <c r="AH207" s="32">
        <f>IF(AQ207="0",BJ207,0)</f>
        <v>0</v>
      </c>
      <c r="AI207" s="28"/>
      <c r="AJ207" s="12">
        <f>IF(AN207=0,K207,0)</f>
        <v>0</v>
      </c>
      <c r="AK207" s="12">
        <f>IF(AN207=15,K207,0)</f>
        <v>0</v>
      </c>
      <c r="AL207" s="12">
        <f>IF(AN207=21,K207,0)</f>
        <v>0</v>
      </c>
      <c r="AN207" s="32">
        <v>21</v>
      </c>
      <c r="AO207" s="32">
        <f>H207*0.109836286677667</f>
        <v>0</v>
      </c>
      <c r="AP207" s="32">
        <f>H207*(1-0.109836286677667)</f>
        <v>0</v>
      </c>
      <c r="AQ207" s="27" t="s">
        <v>7</v>
      </c>
      <c r="AV207" s="32">
        <f>AW207+AX207</f>
        <v>0</v>
      </c>
      <c r="AW207" s="32">
        <f>G207*AO207</f>
        <v>0</v>
      </c>
      <c r="AX207" s="32">
        <f>G207*AP207</f>
        <v>0</v>
      </c>
      <c r="AY207" s="33" t="s">
        <v>701</v>
      </c>
      <c r="AZ207" s="33" t="s">
        <v>720</v>
      </c>
      <c r="BA207" s="28" t="s">
        <v>721</v>
      </c>
      <c r="BC207" s="32">
        <f>AW207+AX207</f>
        <v>0</v>
      </c>
      <c r="BD207" s="32">
        <f>H207/(100-BE207)*100</f>
        <v>0</v>
      </c>
      <c r="BE207" s="32">
        <v>0</v>
      </c>
      <c r="BF207" s="32">
        <f>211</f>
        <v>211</v>
      </c>
      <c r="BH207" s="12">
        <f>G207*AO207</f>
        <v>0</v>
      </c>
      <c r="BI207" s="12">
        <f>G207*AP207</f>
        <v>0</v>
      </c>
      <c r="BJ207" s="12">
        <f>G207*H207</f>
        <v>0</v>
      </c>
    </row>
    <row r="208" spans="1:62" x14ac:dyDescent="0.25">
      <c r="A208" s="137" t="s">
        <v>142</v>
      </c>
      <c r="B208" s="137" t="s">
        <v>346</v>
      </c>
      <c r="C208" s="223" t="s">
        <v>564</v>
      </c>
      <c r="D208" s="221"/>
      <c r="E208" s="224"/>
      <c r="F208" s="137" t="s">
        <v>625</v>
      </c>
      <c r="G208" s="92">
        <v>55.22</v>
      </c>
      <c r="H208" s="17">
        <v>0</v>
      </c>
      <c r="I208" s="93">
        <f>G208*AO208</f>
        <v>0</v>
      </c>
      <c r="J208" s="93">
        <f>G208*AP208</f>
        <v>0</v>
      </c>
      <c r="K208" s="93">
        <f>G208*H208</f>
        <v>0</v>
      </c>
      <c r="L208" s="94">
        <f>IF(K264=0,0,K208/K264)</f>
        <v>0</v>
      </c>
      <c r="M208" s="95" t="s">
        <v>657</v>
      </c>
      <c r="Z208" s="32">
        <f>IF(AQ208="5",BJ208,0)</f>
        <v>0</v>
      </c>
      <c r="AB208" s="32">
        <f>IF(AQ208="1",BH208,0)</f>
        <v>0</v>
      </c>
      <c r="AC208" s="32">
        <f>IF(AQ208="1",BI208,0)</f>
        <v>0</v>
      </c>
      <c r="AD208" s="32">
        <f>IF(AQ208="7",BH208,0)</f>
        <v>0</v>
      </c>
      <c r="AE208" s="32">
        <f>IF(AQ208="7",BI208,0)</f>
        <v>0</v>
      </c>
      <c r="AF208" s="32">
        <f>IF(AQ208="2",BH208,0)</f>
        <v>0</v>
      </c>
      <c r="AG208" s="32">
        <f>IF(AQ208="2",BI208,0)</f>
        <v>0</v>
      </c>
      <c r="AH208" s="32">
        <f>IF(AQ208="0",BJ208,0)</f>
        <v>0</v>
      </c>
      <c r="AI208" s="28"/>
      <c r="AJ208" s="12">
        <f>IF(AN208=0,K208,0)</f>
        <v>0</v>
      </c>
      <c r="AK208" s="12">
        <f>IF(AN208=15,K208,0)</f>
        <v>0</v>
      </c>
      <c r="AL208" s="12">
        <f>IF(AN208=21,K208,0)</f>
        <v>0</v>
      </c>
      <c r="AN208" s="32">
        <v>21</v>
      </c>
      <c r="AO208" s="32">
        <f>H208*0</f>
        <v>0</v>
      </c>
      <c r="AP208" s="32">
        <f>H208*(1-0)</f>
        <v>0</v>
      </c>
      <c r="AQ208" s="27" t="s">
        <v>7</v>
      </c>
      <c r="AV208" s="32">
        <f>AW208+AX208</f>
        <v>0</v>
      </c>
      <c r="AW208" s="32">
        <f>G208*AO208</f>
        <v>0</v>
      </c>
      <c r="AX208" s="32">
        <f>G208*AP208</f>
        <v>0</v>
      </c>
      <c r="AY208" s="33" t="s">
        <v>701</v>
      </c>
      <c r="AZ208" s="33" t="s">
        <v>720</v>
      </c>
      <c r="BA208" s="28" t="s">
        <v>721</v>
      </c>
      <c r="BC208" s="32">
        <f>AW208+AX208</f>
        <v>0</v>
      </c>
      <c r="BD208" s="32">
        <f>H208/(100-BE208)*100</f>
        <v>0</v>
      </c>
      <c r="BE208" s="32">
        <v>0</v>
      </c>
      <c r="BF208" s="32">
        <f>212</f>
        <v>212</v>
      </c>
      <c r="BH208" s="12">
        <f>G208*AO208</f>
        <v>0</v>
      </c>
      <c r="BI208" s="12">
        <f>G208*AP208</f>
        <v>0</v>
      </c>
      <c r="BJ208" s="12">
        <f>G208*H208</f>
        <v>0</v>
      </c>
    </row>
    <row r="209" spans="1:62" x14ac:dyDescent="0.25">
      <c r="A209" s="5"/>
      <c r="B209" s="133" t="s">
        <v>101</v>
      </c>
      <c r="C209" s="226" t="s">
        <v>565</v>
      </c>
      <c r="D209" s="227"/>
      <c r="E209" s="227"/>
      <c r="F209" s="5" t="s">
        <v>6</v>
      </c>
      <c r="G209" s="5" t="s">
        <v>6</v>
      </c>
      <c r="H209" s="18" t="s">
        <v>6</v>
      </c>
      <c r="I209" s="35">
        <f>SUM(I210:I215)</f>
        <v>0</v>
      </c>
      <c r="J209" s="35">
        <f>SUM(J210:J215)</f>
        <v>0</v>
      </c>
      <c r="K209" s="35">
        <f>SUM(K210:K215)</f>
        <v>0</v>
      </c>
      <c r="L209" s="38">
        <f>IF(K264=0,0,K209/K264)</f>
        <v>0</v>
      </c>
      <c r="M209" s="28"/>
      <c r="AI209" s="28"/>
      <c r="AS209" s="35">
        <f>SUM(AJ210:AJ215)</f>
        <v>0</v>
      </c>
      <c r="AT209" s="35">
        <f>SUM(AK210:AK215)</f>
        <v>0</v>
      </c>
      <c r="AU209" s="35">
        <f>SUM(AL210:AL215)</f>
        <v>0</v>
      </c>
    </row>
    <row r="210" spans="1:62" x14ac:dyDescent="0.25">
      <c r="A210" s="132" t="s">
        <v>143</v>
      </c>
      <c r="B210" s="132" t="s">
        <v>347</v>
      </c>
      <c r="C210" s="225" t="s">
        <v>566</v>
      </c>
      <c r="D210" s="221"/>
      <c r="E210" s="221"/>
      <c r="F210" s="132" t="s">
        <v>625</v>
      </c>
      <c r="G210" s="77">
        <v>29.18</v>
      </c>
      <c r="H210" s="17">
        <v>0</v>
      </c>
      <c r="I210" s="12">
        <f t="shared" ref="I210:I215" si="88">G210*AO210</f>
        <v>0</v>
      </c>
      <c r="J210" s="12">
        <f t="shared" ref="J210:J215" si="89">G210*AP210</f>
        <v>0</v>
      </c>
      <c r="K210" s="12">
        <f t="shared" ref="K210:K215" si="90">G210*H210</f>
        <v>0</v>
      </c>
      <c r="L210" s="37">
        <f>IF(K264=0,0,K210/K264)</f>
        <v>0</v>
      </c>
      <c r="M210" s="27" t="s">
        <v>657</v>
      </c>
      <c r="Z210" s="32">
        <f t="shared" ref="Z210:Z215" si="91">IF(AQ210="5",BJ210,0)</f>
        <v>0</v>
      </c>
      <c r="AB210" s="32">
        <f t="shared" ref="AB210:AB215" si="92">IF(AQ210="1",BH210,0)</f>
        <v>0</v>
      </c>
      <c r="AC210" s="32">
        <f t="shared" ref="AC210:AC215" si="93">IF(AQ210="1",BI210,0)</f>
        <v>0</v>
      </c>
      <c r="AD210" s="32">
        <f t="shared" ref="AD210:AD215" si="94">IF(AQ210="7",BH210,0)</f>
        <v>0</v>
      </c>
      <c r="AE210" s="32">
        <f t="shared" ref="AE210:AE215" si="95">IF(AQ210="7",BI210,0)</f>
        <v>0</v>
      </c>
      <c r="AF210" s="32">
        <f t="shared" ref="AF210:AF215" si="96">IF(AQ210="2",BH210,0)</f>
        <v>0</v>
      </c>
      <c r="AG210" s="32">
        <f t="shared" ref="AG210:AG215" si="97">IF(AQ210="2",BI210,0)</f>
        <v>0</v>
      </c>
      <c r="AH210" s="32">
        <f t="shared" ref="AH210:AH215" si="98">IF(AQ210="0",BJ210,0)</f>
        <v>0</v>
      </c>
      <c r="AI210" s="28"/>
      <c r="AJ210" s="12">
        <f t="shared" ref="AJ210:AJ215" si="99">IF(AN210=0,K210,0)</f>
        <v>0</v>
      </c>
      <c r="AK210" s="12">
        <f t="shared" ref="AK210:AK215" si="100">IF(AN210=15,K210,0)</f>
        <v>0</v>
      </c>
      <c r="AL210" s="12">
        <f t="shared" ref="AL210:AL215" si="101">IF(AN210=21,K210,0)</f>
        <v>0</v>
      </c>
      <c r="AN210" s="32">
        <v>21</v>
      </c>
      <c r="AO210" s="32">
        <f>H210*0</f>
        <v>0</v>
      </c>
      <c r="AP210" s="32">
        <f>H210*(1-0)</f>
        <v>0</v>
      </c>
      <c r="AQ210" s="27" t="s">
        <v>7</v>
      </c>
      <c r="AV210" s="32">
        <f t="shared" ref="AV210:AV215" si="102">AW210+AX210</f>
        <v>0</v>
      </c>
      <c r="AW210" s="32">
        <f t="shared" ref="AW210:AW215" si="103">G210*AO210</f>
        <v>0</v>
      </c>
      <c r="AX210" s="32">
        <f t="shared" ref="AX210:AX215" si="104">G210*AP210</f>
        <v>0</v>
      </c>
      <c r="AY210" s="33" t="s">
        <v>702</v>
      </c>
      <c r="AZ210" s="33" t="s">
        <v>720</v>
      </c>
      <c r="BA210" s="28" t="s">
        <v>721</v>
      </c>
      <c r="BC210" s="32">
        <f t="shared" ref="BC210:BC215" si="105">AW210+AX210</f>
        <v>0</v>
      </c>
      <c r="BD210" s="32">
        <f t="shared" ref="BD210:BD215" si="106">H210/(100-BE210)*100</f>
        <v>0</v>
      </c>
      <c r="BE210" s="32">
        <v>0</v>
      </c>
      <c r="BF210" s="32">
        <f>214</f>
        <v>214</v>
      </c>
      <c r="BH210" s="12">
        <f t="shared" ref="BH210:BH215" si="107">G210*AO210</f>
        <v>0</v>
      </c>
      <c r="BI210" s="12">
        <f t="shared" ref="BI210:BI215" si="108">G210*AP210</f>
        <v>0</v>
      </c>
      <c r="BJ210" s="12">
        <f t="shared" ref="BJ210:BJ215" si="109">G210*H210</f>
        <v>0</v>
      </c>
    </row>
    <row r="211" spans="1:62" x14ac:dyDescent="0.25">
      <c r="A211" s="136" t="s">
        <v>144</v>
      </c>
      <c r="B211" s="136" t="s">
        <v>348</v>
      </c>
      <c r="C211" s="220" t="s">
        <v>567</v>
      </c>
      <c r="D211" s="221"/>
      <c r="E211" s="222"/>
      <c r="F211" s="136" t="s">
        <v>625</v>
      </c>
      <c r="G211" s="88">
        <v>309.47199999999998</v>
      </c>
      <c r="H211" s="17">
        <v>0</v>
      </c>
      <c r="I211" s="89">
        <f t="shared" si="88"/>
        <v>0</v>
      </c>
      <c r="J211" s="89">
        <f t="shared" si="89"/>
        <v>0</v>
      </c>
      <c r="K211" s="89">
        <f t="shared" si="90"/>
        <v>0</v>
      </c>
      <c r="L211" s="90">
        <f>IF(K264=0,0,K211/K264)</f>
        <v>0</v>
      </c>
      <c r="M211" s="91" t="s">
        <v>657</v>
      </c>
      <c r="Z211" s="32">
        <f t="shared" si="91"/>
        <v>0</v>
      </c>
      <c r="AB211" s="32">
        <f t="shared" si="92"/>
        <v>0</v>
      </c>
      <c r="AC211" s="32">
        <f t="shared" si="93"/>
        <v>0</v>
      </c>
      <c r="AD211" s="32">
        <f t="shared" si="94"/>
        <v>0</v>
      </c>
      <c r="AE211" s="32">
        <f t="shared" si="95"/>
        <v>0</v>
      </c>
      <c r="AF211" s="32">
        <f t="shared" si="96"/>
        <v>0</v>
      </c>
      <c r="AG211" s="32">
        <f t="shared" si="97"/>
        <v>0</v>
      </c>
      <c r="AH211" s="32">
        <f t="shared" si="98"/>
        <v>0</v>
      </c>
      <c r="AI211" s="28"/>
      <c r="AJ211" s="12">
        <f t="shared" si="99"/>
        <v>0</v>
      </c>
      <c r="AK211" s="12">
        <f t="shared" si="100"/>
        <v>0</v>
      </c>
      <c r="AL211" s="12">
        <f t="shared" si="101"/>
        <v>0</v>
      </c>
      <c r="AN211" s="32">
        <v>21</v>
      </c>
      <c r="AO211" s="32">
        <f>H211*0</f>
        <v>0</v>
      </c>
      <c r="AP211" s="32">
        <f>H211*(1-0)</f>
        <v>0</v>
      </c>
      <c r="AQ211" s="27" t="s">
        <v>7</v>
      </c>
      <c r="AV211" s="32">
        <f t="shared" si="102"/>
        <v>0</v>
      </c>
      <c r="AW211" s="32">
        <f t="shared" si="103"/>
        <v>0</v>
      </c>
      <c r="AX211" s="32">
        <f t="shared" si="104"/>
        <v>0</v>
      </c>
      <c r="AY211" s="33" t="s">
        <v>702</v>
      </c>
      <c r="AZ211" s="33" t="s">
        <v>720</v>
      </c>
      <c r="BA211" s="28" t="s">
        <v>721</v>
      </c>
      <c r="BC211" s="32">
        <f t="shared" si="105"/>
        <v>0</v>
      </c>
      <c r="BD211" s="32">
        <f t="shared" si="106"/>
        <v>0</v>
      </c>
      <c r="BE211" s="32">
        <v>0</v>
      </c>
      <c r="BF211" s="32">
        <f>215</f>
        <v>215</v>
      </c>
      <c r="BH211" s="12">
        <f t="shared" si="107"/>
        <v>0</v>
      </c>
      <c r="BI211" s="12">
        <f t="shared" si="108"/>
        <v>0</v>
      </c>
      <c r="BJ211" s="12">
        <f t="shared" si="109"/>
        <v>0</v>
      </c>
    </row>
    <row r="212" spans="1:62" x14ac:dyDescent="0.25">
      <c r="A212" s="137" t="s">
        <v>145</v>
      </c>
      <c r="B212" s="137" t="s">
        <v>349</v>
      </c>
      <c r="C212" s="223" t="s">
        <v>568</v>
      </c>
      <c r="D212" s="221"/>
      <c r="E212" s="224"/>
      <c r="F212" s="137" t="s">
        <v>625</v>
      </c>
      <c r="G212" s="92">
        <v>147.26</v>
      </c>
      <c r="H212" s="17">
        <v>0</v>
      </c>
      <c r="I212" s="93">
        <f t="shared" si="88"/>
        <v>0</v>
      </c>
      <c r="J212" s="93">
        <f t="shared" si="89"/>
        <v>0</v>
      </c>
      <c r="K212" s="93">
        <f t="shared" si="90"/>
        <v>0</v>
      </c>
      <c r="L212" s="94">
        <f>IF(K264=0,0,K212/K264)</f>
        <v>0</v>
      </c>
      <c r="M212" s="95" t="s">
        <v>657</v>
      </c>
      <c r="Z212" s="32">
        <f t="shared" si="91"/>
        <v>0</v>
      </c>
      <c r="AB212" s="32">
        <f t="shared" si="92"/>
        <v>0</v>
      </c>
      <c r="AC212" s="32">
        <f t="shared" si="93"/>
        <v>0</v>
      </c>
      <c r="AD212" s="32">
        <f t="shared" si="94"/>
        <v>0</v>
      </c>
      <c r="AE212" s="32">
        <f t="shared" si="95"/>
        <v>0</v>
      </c>
      <c r="AF212" s="32">
        <f t="shared" si="96"/>
        <v>0</v>
      </c>
      <c r="AG212" s="32">
        <f t="shared" si="97"/>
        <v>0</v>
      </c>
      <c r="AH212" s="32">
        <f t="shared" si="98"/>
        <v>0</v>
      </c>
      <c r="AI212" s="28"/>
      <c r="AJ212" s="12">
        <f t="shared" si="99"/>
        <v>0</v>
      </c>
      <c r="AK212" s="12">
        <f t="shared" si="100"/>
        <v>0</v>
      </c>
      <c r="AL212" s="12">
        <f t="shared" si="101"/>
        <v>0</v>
      </c>
      <c r="AN212" s="32">
        <v>21</v>
      </c>
      <c r="AO212" s="32">
        <f>H212*0</f>
        <v>0</v>
      </c>
      <c r="AP212" s="32">
        <f>H212*(1-0)</f>
        <v>0</v>
      </c>
      <c r="AQ212" s="27" t="s">
        <v>7</v>
      </c>
      <c r="AV212" s="32">
        <f t="shared" si="102"/>
        <v>0</v>
      </c>
      <c r="AW212" s="32">
        <f t="shared" si="103"/>
        <v>0</v>
      </c>
      <c r="AX212" s="32">
        <f t="shared" si="104"/>
        <v>0</v>
      </c>
      <c r="AY212" s="33" t="s">
        <v>702</v>
      </c>
      <c r="AZ212" s="33" t="s">
        <v>720</v>
      </c>
      <c r="BA212" s="28" t="s">
        <v>721</v>
      </c>
      <c r="BC212" s="32">
        <f t="shared" si="105"/>
        <v>0</v>
      </c>
      <c r="BD212" s="32">
        <f t="shared" si="106"/>
        <v>0</v>
      </c>
      <c r="BE212" s="32">
        <v>0</v>
      </c>
      <c r="BF212" s="32">
        <f>216</f>
        <v>216</v>
      </c>
      <c r="BH212" s="12">
        <f t="shared" si="107"/>
        <v>0</v>
      </c>
      <c r="BI212" s="12">
        <f t="shared" si="108"/>
        <v>0</v>
      </c>
      <c r="BJ212" s="12">
        <f t="shared" si="109"/>
        <v>0</v>
      </c>
    </row>
    <row r="213" spans="1:62" x14ac:dyDescent="0.25">
      <c r="A213" s="132" t="s">
        <v>146</v>
      </c>
      <c r="B213" s="132" t="s">
        <v>350</v>
      </c>
      <c r="C213" s="225" t="s">
        <v>569</v>
      </c>
      <c r="D213" s="221"/>
      <c r="E213" s="221"/>
      <c r="F213" s="132" t="s">
        <v>626</v>
      </c>
      <c r="G213" s="77">
        <v>2.4E-2</v>
      </c>
      <c r="H213" s="17">
        <v>0</v>
      </c>
      <c r="I213" s="12">
        <f t="shared" si="88"/>
        <v>0</v>
      </c>
      <c r="J213" s="12">
        <f t="shared" si="89"/>
        <v>0</v>
      </c>
      <c r="K213" s="12">
        <f t="shared" si="90"/>
        <v>0</v>
      </c>
      <c r="L213" s="37">
        <f>IF(K264=0,0,K213/K264)</f>
        <v>0</v>
      </c>
      <c r="M213" s="27" t="s">
        <v>657</v>
      </c>
      <c r="Z213" s="32">
        <f t="shared" si="91"/>
        <v>0</v>
      </c>
      <c r="AB213" s="32">
        <f t="shared" si="92"/>
        <v>0</v>
      </c>
      <c r="AC213" s="32">
        <f t="shared" si="93"/>
        <v>0</v>
      </c>
      <c r="AD213" s="32">
        <f t="shared" si="94"/>
        <v>0</v>
      </c>
      <c r="AE213" s="32">
        <f t="shared" si="95"/>
        <v>0</v>
      </c>
      <c r="AF213" s="32">
        <f t="shared" si="96"/>
        <v>0</v>
      </c>
      <c r="AG213" s="32">
        <f t="shared" si="97"/>
        <v>0</v>
      </c>
      <c r="AH213" s="32">
        <f t="shared" si="98"/>
        <v>0</v>
      </c>
      <c r="AI213" s="28"/>
      <c r="AJ213" s="12">
        <f t="shared" si="99"/>
        <v>0</v>
      </c>
      <c r="AK213" s="12">
        <f t="shared" si="100"/>
        <v>0</v>
      </c>
      <c r="AL213" s="12">
        <f t="shared" si="101"/>
        <v>0</v>
      </c>
      <c r="AN213" s="32">
        <v>21</v>
      </c>
      <c r="AO213" s="32">
        <f>H213*0.0273978947368421</f>
        <v>0</v>
      </c>
      <c r="AP213" s="32">
        <f>H213*(1-0.0273978947368421)</f>
        <v>0</v>
      </c>
      <c r="AQ213" s="27" t="s">
        <v>7</v>
      </c>
      <c r="AV213" s="32">
        <f t="shared" si="102"/>
        <v>0</v>
      </c>
      <c r="AW213" s="32">
        <f t="shared" si="103"/>
        <v>0</v>
      </c>
      <c r="AX213" s="32">
        <f t="shared" si="104"/>
        <v>0</v>
      </c>
      <c r="AY213" s="33" t="s">
        <v>702</v>
      </c>
      <c r="AZ213" s="33" t="s">
        <v>720</v>
      </c>
      <c r="BA213" s="28" t="s">
        <v>721</v>
      </c>
      <c r="BC213" s="32">
        <f t="shared" si="105"/>
        <v>0</v>
      </c>
      <c r="BD213" s="32">
        <f t="shared" si="106"/>
        <v>0</v>
      </c>
      <c r="BE213" s="32">
        <v>0</v>
      </c>
      <c r="BF213" s="32">
        <f>217</f>
        <v>217</v>
      </c>
      <c r="BH213" s="12">
        <f t="shared" si="107"/>
        <v>0</v>
      </c>
      <c r="BI213" s="12">
        <f t="shared" si="108"/>
        <v>0</v>
      </c>
      <c r="BJ213" s="12">
        <f t="shared" si="109"/>
        <v>0</v>
      </c>
    </row>
    <row r="214" spans="1:62" x14ac:dyDescent="0.25">
      <c r="A214" s="132" t="s">
        <v>147</v>
      </c>
      <c r="B214" s="132" t="s">
        <v>351</v>
      </c>
      <c r="C214" s="225" t="s">
        <v>570</v>
      </c>
      <c r="D214" s="221"/>
      <c r="E214" s="221"/>
      <c r="F214" s="132" t="s">
        <v>629</v>
      </c>
      <c r="G214" s="77">
        <v>1035</v>
      </c>
      <c r="H214" s="17">
        <v>0</v>
      </c>
      <c r="I214" s="12">
        <f t="shared" si="88"/>
        <v>0</v>
      </c>
      <c r="J214" s="12">
        <f t="shared" si="89"/>
        <v>0</v>
      </c>
      <c r="K214" s="12">
        <f t="shared" si="90"/>
        <v>0</v>
      </c>
      <c r="L214" s="37">
        <f>IF(K264=0,0,K214/K264)</f>
        <v>0</v>
      </c>
      <c r="M214" s="27" t="s">
        <v>657</v>
      </c>
      <c r="Z214" s="32">
        <f t="shared" si="91"/>
        <v>0</v>
      </c>
      <c r="AB214" s="32">
        <f t="shared" si="92"/>
        <v>0</v>
      </c>
      <c r="AC214" s="32">
        <f t="shared" si="93"/>
        <v>0</v>
      </c>
      <c r="AD214" s="32">
        <f t="shared" si="94"/>
        <v>0</v>
      </c>
      <c r="AE214" s="32">
        <f t="shared" si="95"/>
        <v>0</v>
      </c>
      <c r="AF214" s="32">
        <f t="shared" si="96"/>
        <v>0</v>
      </c>
      <c r="AG214" s="32">
        <f t="shared" si="97"/>
        <v>0</v>
      </c>
      <c r="AH214" s="32">
        <f t="shared" si="98"/>
        <v>0</v>
      </c>
      <c r="AI214" s="28"/>
      <c r="AJ214" s="12">
        <f t="shared" si="99"/>
        <v>0</v>
      </c>
      <c r="AK214" s="12">
        <f t="shared" si="100"/>
        <v>0</v>
      </c>
      <c r="AL214" s="12">
        <f t="shared" si="101"/>
        <v>0</v>
      </c>
      <c r="AN214" s="32">
        <v>21</v>
      </c>
      <c r="AO214" s="32">
        <f>H214*0.314431196186163</f>
        <v>0</v>
      </c>
      <c r="AP214" s="32">
        <f>H214*(1-0.314431196186163)</f>
        <v>0</v>
      </c>
      <c r="AQ214" s="27" t="s">
        <v>7</v>
      </c>
      <c r="AV214" s="32">
        <f t="shared" si="102"/>
        <v>0</v>
      </c>
      <c r="AW214" s="32">
        <f t="shared" si="103"/>
        <v>0</v>
      </c>
      <c r="AX214" s="32">
        <f t="shared" si="104"/>
        <v>0</v>
      </c>
      <c r="AY214" s="33" t="s">
        <v>702</v>
      </c>
      <c r="AZ214" s="33" t="s">
        <v>720</v>
      </c>
      <c r="BA214" s="28" t="s">
        <v>721</v>
      </c>
      <c r="BC214" s="32">
        <f t="shared" si="105"/>
        <v>0</v>
      </c>
      <c r="BD214" s="32">
        <f t="shared" si="106"/>
        <v>0</v>
      </c>
      <c r="BE214" s="32">
        <v>0</v>
      </c>
      <c r="BF214" s="32">
        <f>218</f>
        <v>218</v>
      </c>
      <c r="BH214" s="12">
        <f t="shared" si="107"/>
        <v>0</v>
      </c>
      <c r="BI214" s="12">
        <f t="shared" si="108"/>
        <v>0</v>
      </c>
      <c r="BJ214" s="12">
        <f t="shared" si="109"/>
        <v>0</v>
      </c>
    </row>
    <row r="215" spans="1:62" x14ac:dyDescent="0.25">
      <c r="A215" s="137" t="s">
        <v>148</v>
      </c>
      <c r="B215" s="137" t="s">
        <v>352</v>
      </c>
      <c r="C215" s="223" t="s">
        <v>571</v>
      </c>
      <c r="D215" s="221"/>
      <c r="E215" s="224"/>
      <c r="F215" s="137" t="s">
        <v>625</v>
      </c>
      <c r="G215" s="92">
        <v>24.745999999999999</v>
      </c>
      <c r="H215" s="17">
        <v>0</v>
      </c>
      <c r="I215" s="93">
        <f t="shared" si="88"/>
        <v>0</v>
      </c>
      <c r="J215" s="93">
        <f t="shared" si="89"/>
        <v>0</v>
      </c>
      <c r="K215" s="93">
        <f t="shared" si="90"/>
        <v>0</v>
      </c>
      <c r="L215" s="94">
        <f>IF(K264=0,0,K215/K264)</f>
        <v>0</v>
      </c>
      <c r="M215" s="95" t="s">
        <v>657</v>
      </c>
      <c r="Z215" s="32">
        <f t="shared" si="91"/>
        <v>0</v>
      </c>
      <c r="AB215" s="32">
        <f t="shared" si="92"/>
        <v>0</v>
      </c>
      <c r="AC215" s="32">
        <f t="shared" si="93"/>
        <v>0</v>
      </c>
      <c r="AD215" s="32">
        <f t="shared" si="94"/>
        <v>0</v>
      </c>
      <c r="AE215" s="32">
        <f t="shared" si="95"/>
        <v>0</v>
      </c>
      <c r="AF215" s="32">
        <f t="shared" si="96"/>
        <v>0</v>
      </c>
      <c r="AG215" s="32">
        <f t="shared" si="97"/>
        <v>0</v>
      </c>
      <c r="AH215" s="32">
        <f t="shared" si="98"/>
        <v>0</v>
      </c>
      <c r="AI215" s="28"/>
      <c r="AJ215" s="12">
        <f t="shared" si="99"/>
        <v>0</v>
      </c>
      <c r="AK215" s="12">
        <f t="shared" si="100"/>
        <v>0</v>
      </c>
      <c r="AL215" s="12">
        <f t="shared" si="101"/>
        <v>0</v>
      </c>
      <c r="AN215" s="32">
        <v>21</v>
      </c>
      <c r="AO215" s="32">
        <f>H215*0</f>
        <v>0</v>
      </c>
      <c r="AP215" s="32">
        <f>H215*(1-0)</f>
        <v>0</v>
      </c>
      <c r="AQ215" s="27" t="s">
        <v>7</v>
      </c>
      <c r="AV215" s="32">
        <f t="shared" si="102"/>
        <v>0</v>
      </c>
      <c r="AW215" s="32">
        <f t="shared" si="103"/>
        <v>0</v>
      </c>
      <c r="AX215" s="32">
        <f t="shared" si="104"/>
        <v>0</v>
      </c>
      <c r="AY215" s="33" t="s">
        <v>702</v>
      </c>
      <c r="AZ215" s="33" t="s">
        <v>720</v>
      </c>
      <c r="BA215" s="28" t="s">
        <v>721</v>
      </c>
      <c r="BC215" s="32">
        <f t="shared" si="105"/>
        <v>0</v>
      </c>
      <c r="BD215" s="32">
        <f t="shared" si="106"/>
        <v>0</v>
      </c>
      <c r="BE215" s="32">
        <v>0</v>
      </c>
      <c r="BF215" s="32">
        <f>219</f>
        <v>219</v>
      </c>
      <c r="BH215" s="12">
        <f t="shared" si="107"/>
        <v>0</v>
      </c>
      <c r="BI215" s="12">
        <f t="shared" si="108"/>
        <v>0</v>
      </c>
      <c r="BJ215" s="12">
        <f t="shared" si="109"/>
        <v>0</v>
      </c>
    </row>
    <row r="216" spans="1:62" x14ac:dyDescent="0.25">
      <c r="A216" s="5"/>
      <c r="B216" s="133" t="s">
        <v>353</v>
      </c>
      <c r="C216" s="226" t="s">
        <v>572</v>
      </c>
      <c r="D216" s="227"/>
      <c r="E216" s="227"/>
      <c r="F216" s="5" t="s">
        <v>6</v>
      </c>
      <c r="G216" s="5" t="s">
        <v>6</v>
      </c>
      <c r="H216" s="18" t="s">
        <v>6</v>
      </c>
      <c r="I216" s="35">
        <f>SUM(I217:I217)</f>
        <v>0</v>
      </c>
      <c r="J216" s="35">
        <f>SUM(J217:J217)</f>
        <v>0</v>
      </c>
      <c r="K216" s="35">
        <f>SUM(K217:K217)</f>
        <v>0</v>
      </c>
      <c r="L216" s="38">
        <f>IF(K264=0,0,K216/K264)</f>
        <v>0</v>
      </c>
      <c r="M216" s="28"/>
      <c r="AI216" s="28"/>
      <c r="AS216" s="35">
        <f>SUM(AJ217:AJ217)</f>
        <v>0</v>
      </c>
      <c r="AT216" s="35">
        <f>SUM(AK217:AK217)</f>
        <v>0</v>
      </c>
      <c r="AU216" s="35">
        <f>SUM(AL217:AL217)</f>
        <v>0</v>
      </c>
    </row>
    <row r="217" spans="1:62" x14ac:dyDescent="0.25">
      <c r="A217" s="137" t="s">
        <v>149</v>
      </c>
      <c r="B217" s="137" t="s">
        <v>354</v>
      </c>
      <c r="C217" s="223" t="s">
        <v>573</v>
      </c>
      <c r="D217" s="221"/>
      <c r="E217" s="224"/>
      <c r="F217" s="137" t="s">
        <v>627</v>
      </c>
      <c r="G217" s="92">
        <v>136.41</v>
      </c>
      <c r="H217" s="17">
        <v>0</v>
      </c>
      <c r="I217" s="93">
        <f>G217*AO217</f>
        <v>0</v>
      </c>
      <c r="J217" s="93">
        <f>G217*AP217</f>
        <v>0</v>
      </c>
      <c r="K217" s="93">
        <f>G217*H217</f>
        <v>0</v>
      </c>
      <c r="L217" s="94">
        <f>IF(K264=0,0,K217/K264)</f>
        <v>0</v>
      </c>
      <c r="M217" s="95" t="s">
        <v>657</v>
      </c>
      <c r="Z217" s="32">
        <f>IF(AQ217="5",BJ217,0)</f>
        <v>0</v>
      </c>
      <c r="AB217" s="32">
        <f>IF(AQ217="1",BH217,0)</f>
        <v>0</v>
      </c>
      <c r="AC217" s="32">
        <f>IF(AQ217="1",BI217,0)</f>
        <v>0</v>
      </c>
      <c r="AD217" s="32">
        <f>IF(AQ217="7",BH217,0)</f>
        <v>0</v>
      </c>
      <c r="AE217" s="32">
        <f>IF(AQ217="7",BI217,0)</f>
        <v>0</v>
      </c>
      <c r="AF217" s="32">
        <f>IF(AQ217="2",BH217,0)</f>
        <v>0</v>
      </c>
      <c r="AG217" s="32">
        <f>IF(AQ217="2",BI217,0)</f>
        <v>0</v>
      </c>
      <c r="AH217" s="32">
        <f>IF(AQ217="0",BJ217,0)</f>
        <v>0</v>
      </c>
      <c r="AI217" s="28"/>
      <c r="AJ217" s="12">
        <f>IF(AN217=0,K217,0)</f>
        <v>0</v>
      </c>
      <c r="AK217" s="12">
        <f>IF(AN217=15,K217,0)</f>
        <v>0</v>
      </c>
      <c r="AL217" s="12">
        <f>IF(AN217=21,K217,0)</f>
        <v>0</v>
      </c>
      <c r="AN217" s="32">
        <v>21</v>
      </c>
      <c r="AO217" s="32">
        <f>H217*0</f>
        <v>0</v>
      </c>
      <c r="AP217" s="32">
        <f>H217*(1-0)</f>
        <v>0</v>
      </c>
      <c r="AQ217" s="27" t="s">
        <v>11</v>
      </c>
      <c r="AV217" s="32">
        <f>AW217+AX217</f>
        <v>0</v>
      </c>
      <c r="AW217" s="32">
        <f>G217*AO217</f>
        <v>0</v>
      </c>
      <c r="AX217" s="32">
        <f>G217*AP217</f>
        <v>0</v>
      </c>
      <c r="AY217" s="33" t="s">
        <v>703</v>
      </c>
      <c r="AZ217" s="33" t="s">
        <v>720</v>
      </c>
      <c r="BA217" s="28" t="s">
        <v>721</v>
      </c>
      <c r="BC217" s="32">
        <f>AW217+AX217</f>
        <v>0</v>
      </c>
      <c r="BD217" s="32">
        <f>H217/(100-BE217)*100</f>
        <v>0</v>
      </c>
      <c r="BE217" s="32">
        <v>0</v>
      </c>
      <c r="BF217" s="32">
        <f>221</f>
        <v>221</v>
      </c>
      <c r="BH217" s="12">
        <f>G217*AO217</f>
        <v>0</v>
      </c>
      <c r="BI217" s="12">
        <f>G217*AP217</f>
        <v>0</v>
      </c>
      <c r="BJ217" s="12">
        <f>G217*H217</f>
        <v>0</v>
      </c>
    </row>
    <row r="218" spans="1:62" x14ac:dyDescent="0.25">
      <c r="A218" s="5"/>
      <c r="B218" s="133" t="s">
        <v>355</v>
      </c>
      <c r="C218" s="226" t="s">
        <v>574</v>
      </c>
      <c r="D218" s="227"/>
      <c r="E218" s="227"/>
      <c r="F218" s="5" t="s">
        <v>6</v>
      </c>
      <c r="G218" s="5" t="s">
        <v>6</v>
      </c>
      <c r="H218" s="18" t="s">
        <v>6</v>
      </c>
      <c r="I218" s="35">
        <f>SUM(I219:I220)</f>
        <v>0</v>
      </c>
      <c r="J218" s="35">
        <f>SUM(J219:J220)</f>
        <v>0</v>
      </c>
      <c r="K218" s="35">
        <f>SUM(K219:K220)</f>
        <v>0</v>
      </c>
      <c r="L218" s="38">
        <f>IF(K264=0,0,K218/K264)</f>
        <v>0</v>
      </c>
      <c r="M218" s="28"/>
      <c r="AI218" s="28"/>
      <c r="AS218" s="35">
        <f>SUM(AJ219:AJ220)</f>
        <v>0</v>
      </c>
      <c r="AT218" s="35">
        <f>SUM(AK219:AK220)</f>
        <v>0</v>
      </c>
      <c r="AU218" s="35">
        <f>SUM(AL219:AL220)</f>
        <v>0</v>
      </c>
    </row>
    <row r="219" spans="1:62" x14ac:dyDescent="0.25">
      <c r="A219" s="136" t="s">
        <v>150</v>
      </c>
      <c r="B219" s="136" t="s">
        <v>356</v>
      </c>
      <c r="C219" s="220" t="s">
        <v>575</v>
      </c>
      <c r="D219" s="221"/>
      <c r="E219" s="222"/>
      <c r="F219" s="136" t="s">
        <v>627</v>
      </c>
      <c r="G219" s="88">
        <v>36.985999999999997</v>
      </c>
      <c r="H219" s="17">
        <v>0</v>
      </c>
      <c r="I219" s="89">
        <f>G219*AO219</f>
        <v>0</v>
      </c>
      <c r="J219" s="89">
        <f>G219*AP219</f>
        <v>0</v>
      </c>
      <c r="K219" s="89">
        <f>G219*H219</f>
        <v>0</v>
      </c>
      <c r="L219" s="90">
        <f>IF(K264=0,0,K219/K264)</f>
        <v>0</v>
      </c>
      <c r="M219" s="91" t="s">
        <v>657</v>
      </c>
      <c r="Z219" s="32">
        <f>IF(AQ219="5",BJ219,0)</f>
        <v>0</v>
      </c>
      <c r="AB219" s="32">
        <f>IF(AQ219="1",BH219,0)</f>
        <v>0</v>
      </c>
      <c r="AC219" s="32">
        <f>IF(AQ219="1",BI219,0)</f>
        <v>0</v>
      </c>
      <c r="AD219" s="32">
        <f>IF(AQ219="7",BH219,0)</f>
        <v>0</v>
      </c>
      <c r="AE219" s="32">
        <f>IF(AQ219="7",BI219,0)</f>
        <v>0</v>
      </c>
      <c r="AF219" s="32">
        <f>IF(AQ219="2",BH219,0)</f>
        <v>0</v>
      </c>
      <c r="AG219" s="32">
        <f>IF(AQ219="2",BI219,0)</f>
        <v>0</v>
      </c>
      <c r="AH219" s="32">
        <f>IF(AQ219="0",BJ219,0)</f>
        <v>0</v>
      </c>
      <c r="AI219" s="28"/>
      <c r="AJ219" s="12">
        <f>IF(AN219=0,K219,0)</f>
        <v>0</v>
      </c>
      <c r="AK219" s="12">
        <f>IF(AN219=15,K219,0)</f>
        <v>0</v>
      </c>
      <c r="AL219" s="12">
        <f>IF(AN219=21,K219,0)</f>
        <v>0</v>
      </c>
      <c r="AN219" s="32">
        <v>21</v>
      </c>
      <c r="AO219" s="32">
        <f>H219*0</f>
        <v>0</v>
      </c>
      <c r="AP219" s="32">
        <f>H219*(1-0)</f>
        <v>0</v>
      </c>
      <c r="AQ219" s="27" t="s">
        <v>11</v>
      </c>
      <c r="AV219" s="32">
        <f>AW219+AX219</f>
        <v>0</v>
      </c>
      <c r="AW219" s="32">
        <f>G219*AO219</f>
        <v>0</v>
      </c>
      <c r="AX219" s="32">
        <f>G219*AP219</f>
        <v>0</v>
      </c>
      <c r="AY219" s="33" t="s">
        <v>704</v>
      </c>
      <c r="AZ219" s="33" t="s">
        <v>720</v>
      </c>
      <c r="BA219" s="28" t="s">
        <v>721</v>
      </c>
      <c r="BC219" s="32">
        <f>AW219+AX219</f>
        <v>0</v>
      </c>
      <c r="BD219" s="32">
        <f>H219/(100-BE219)*100</f>
        <v>0</v>
      </c>
      <c r="BE219" s="32">
        <v>0</v>
      </c>
      <c r="BF219" s="32">
        <f>223</f>
        <v>223</v>
      </c>
      <c r="BH219" s="12">
        <f>G219*AO219</f>
        <v>0</v>
      </c>
      <c r="BI219" s="12">
        <f>G219*AP219</f>
        <v>0</v>
      </c>
      <c r="BJ219" s="12">
        <f>G219*H219</f>
        <v>0</v>
      </c>
    </row>
    <row r="220" spans="1:62" x14ac:dyDescent="0.25">
      <c r="A220" s="137" t="s">
        <v>151</v>
      </c>
      <c r="B220" s="137" t="s">
        <v>357</v>
      </c>
      <c r="C220" s="223" t="s">
        <v>576</v>
      </c>
      <c r="D220" s="221"/>
      <c r="E220" s="224"/>
      <c r="F220" s="137" t="s">
        <v>627</v>
      </c>
      <c r="G220" s="92">
        <v>340.33</v>
      </c>
      <c r="H220" s="17">
        <v>0</v>
      </c>
      <c r="I220" s="93">
        <f>G220*AO220</f>
        <v>0</v>
      </c>
      <c r="J220" s="93">
        <f>G220*AP220</f>
        <v>0</v>
      </c>
      <c r="K220" s="93">
        <f>G220*H220</f>
        <v>0</v>
      </c>
      <c r="L220" s="94">
        <f>IF(K264=0,0,K220/K264)</f>
        <v>0</v>
      </c>
      <c r="M220" s="95" t="s">
        <v>657</v>
      </c>
      <c r="Z220" s="32">
        <f>IF(AQ220="5",BJ220,0)</f>
        <v>0</v>
      </c>
      <c r="AB220" s="32">
        <f>IF(AQ220="1",BH220,0)</f>
        <v>0</v>
      </c>
      <c r="AC220" s="32">
        <f>IF(AQ220="1",BI220,0)</f>
        <v>0</v>
      </c>
      <c r="AD220" s="32">
        <f>IF(AQ220="7",BH220,0)</f>
        <v>0</v>
      </c>
      <c r="AE220" s="32">
        <f>IF(AQ220="7",BI220,0)</f>
        <v>0</v>
      </c>
      <c r="AF220" s="32">
        <f>IF(AQ220="2",BH220,0)</f>
        <v>0</v>
      </c>
      <c r="AG220" s="32">
        <f>IF(AQ220="2",BI220,0)</f>
        <v>0</v>
      </c>
      <c r="AH220" s="32">
        <f>IF(AQ220="0",BJ220,0)</f>
        <v>0</v>
      </c>
      <c r="AI220" s="28"/>
      <c r="AJ220" s="12">
        <f>IF(AN220=0,K220,0)</f>
        <v>0</v>
      </c>
      <c r="AK220" s="12">
        <f>IF(AN220=15,K220,0)</f>
        <v>0</v>
      </c>
      <c r="AL220" s="12">
        <f>IF(AN220=21,K220,0)</f>
        <v>0</v>
      </c>
      <c r="AN220" s="32">
        <v>21</v>
      </c>
      <c r="AO220" s="32">
        <f>H220*0</f>
        <v>0</v>
      </c>
      <c r="AP220" s="32">
        <f>H220*(1-0)</f>
        <v>0</v>
      </c>
      <c r="AQ220" s="27" t="s">
        <v>11</v>
      </c>
      <c r="AV220" s="32">
        <f>AW220+AX220</f>
        <v>0</v>
      </c>
      <c r="AW220" s="32">
        <f>G220*AO220</f>
        <v>0</v>
      </c>
      <c r="AX220" s="32">
        <f>G220*AP220</f>
        <v>0</v>
      </c>
      <c r="AY220" s="33" t="s">
        <v>704</v>
      </c>
      <c r="AZ220" s="33" t="s">
        <v>720</v>
      </c>
      <c r="BA220" s="28" t="s">
        <v>721</v>
      </c>
      <c r="BC220" s="32">
        <f>AW220+AX220</f>
        <v>0</v>
      </c>
      <c r="BD220" s="32">
        <f>H220/(100-BE220)*100</f>
        <v>0</v>
      </c>
      <c r="BE220" s="32">
        <v>0</v>
      </c>
      <c r="BF220" s="32">
        <f>224</f>
        <v>224</v>
      </c>
      <c r="BH220" s="12">
        <f>G220*AO220</f>
        <v>0</v>
      </c>
      <c r="BI220" s="12">
        <f>G220*AP220</f>
        <v>0</v>
      </c>
      <c r="BJ220" s="12">
        <f>G220*H220</f>
        <v>0</v>
      </c>
    </row>
    <row r="221" spans="1:62" x14ac:dyDescent="0.25">
      <c r="A221" s="5"/>
      <c r="B221" s="133" t="s">
        <v>358</v>
      </c>
      <c r="C221" s="226" t="s">
        <v>577</v>
      </c>
      <c r="D221" s="227"/>
      <c r="E221" s="227"/>
      <c r="F221" s="5" t="s">
        <v>6</v>
      </c>
      <c r="G221" s="5" t="s">
        <v>6</v>
      </c>
      <c r="H221" s="18" t="s">
        <v>6</v>
      </c>
      <c r="I221" s="35">
        <f>SUM(I222:I248)</f>
        <v>0</v>
      </c>
      <c r="J221" s="35">
        <f>SUM(J222:J248)</f>
        <v>0</v>
      </c>
      <c r="K221" s="35">
        <f>SUM(K222:K248)</f>
        <v>0</v>
      </c>
      <c r="L221" s="38">
        <f>IF(K264=0,0,K221/K264)</f>
        <v>0</v>
      </c>
      <c r="M221" s="28"/>
      <c r="AI221" s="28"/>
      <c r="AS221" s="35">
        <f>SUM(AJ222:AJ248)</f>
        <v>0</v>
      </c>
      <c r="AT221" s="35">
        <f>SUM(AK222:AK248)</f>
        <v>0</v>
      </c>
      <c r="AU221" s="35">
        <f>SUM(AL222:AL248)</f>
        <v>0</v>
      </c>
    </row>
    <row r="222" spans="1:62" x14ac:dyDescent="0.25">
      <c r="A222" s="132" t="s">
        <v>152</v>
      </c>
      <c r="B222" s="132" t="s">
        <v>359</v>
      </c>
      <c r="C222" s="225" t="s">
        <v>578</v>
      </c>
      <c r="D222" s="221"/>
      <c r="E222" s="221"/>
      <c r="F222" s="132" t="s">
        <v>629</v>
      </c>
      <c r="G222" s="77">
        <v>62</v>
      </c>
      <c r="H222" s="17">
        <v>0</v>
      </c>
      <c r="I222" s="12">
        <f>G222*AO222</f>
        <v>0</v>
      </c>
      <c r="J222" s="12">
        <f>G222*AP222</f>
        <v>0</v>
      </c>
      <c r="K222" s="12">
        <f>G222*H222</f>
        <v>0</v>
      </c>
      <c r="L222" s="37">
        <f>IF(K264=0,0,K222/K264)</f>
        <v>0</v>
      </c>
      <c r="M222" s="27"/>
      <c r="Z222" s="32">
        <f>IF(AQ222="5",BJ222,0)</f>
        <v>0</v>
      </c>
      <c r="AB222" s="32">
        <f>IF(AQ222="1",BH222,0)</f>
        <v>0</v>
      </c>
      <c r="AC222" s="32">
        <f>IF(AQ222="1",BI222,0)</f>
        <v>0</v>
      </c>
      <c r="AD222" s="32">
        <f>IF(AQ222="7",BH222,0)</f>
        <v>0</v>
      </c>
      <c r="AE222" s="32">
        <f>IF(AQ222="7",BI222,0)</f>
        <v>0</v>
      </c>
      <c r="AF222" s="32">
        <f>IF(AQ222="2",BH222,0)</f>
        <v>0</v>
      </c>
      <c r="AG222" s="32">
        <f>IF(AQ222="2",BI222,0)</f>
        <v>0</v>
      </c>
      <c r="AH222" s="32">
        <f>IF(AQ222="0",BJ222,0)</f>
        <v>0</v>
      </c>
      <c r="AI222" s="28"/>
      <c r="AJ222" s="12">
        <f>IF(AN222=0,K222,0)</f>
        <v>0</v>
      </c>
      <c r="AK222" s="12">
        <f>IF(AN222=15,K222,0)</f>
        <v>0</v>
      </c>
      <c r="AL222" s="12">
        <f>IF(AN222=21,K222,0)</f>
        <v>0</v>
      </c>
      <c r="AN222" s="32">
        <v>21</v>
      </c>
      <c r="AO222" s="32">
        <f>H222*0</f>
        <v>0</v>
      </c>
      <c r="AP222" s="32">
        <f>H222*(1-0)</f>
        <v>0</v>
      </c>
      <c r="AQ222" s="27" t="s">
        <v>8</v>
      </c>
      <c r="AV222" s="32">
        <f>AW222+AX222</f>
        <v>0</v>
      </c>
      <c r="AW222" s="32">
        <f>G222*AO222</f>
        <v>0</v>
      </c>
      <c r="AX222" s="32">
        <f>G222*AP222</f>
        <v>0</v>
      </c>
      <c r="AY222" s="33" t="s">
        <v>705</v>
      </c>
      <c r="AZ222" s="33" t="s">
        <v>720</v>
      </c>
      <c r="BA222" s="28" t="s">
        <v>721</v>
      </c>
      <c r="BC222" s="32">
        <f>AW222+AX222</f>
        <v>0</v>
      </c>
      <c r="BD222" s="32">
        <f>H222/(100-BE222)*100</f>
        <v>0</v>
      </c>
      <c r="BE222" s="32">
        <v>0</v>
      </c>
      <c r="BF222" s="32">
        <f>226</f>
        <v>226</v>
      </c>
      <c r="BH222" s="12">
        <f>G222*AO222</f>
        <v>0</v>
      </c>
      <c r="BI222" s="12">
        <f>G222*AP222</f>
        <v>0</v>
      </c>
      <c r="BJ222" s="12">
        <f>G222*H222</f>
        <v>0</v>
      </c>
    </row>
    <row r="223" spans="1:62" x14ac:dyDescent="0.25">
      <c r="A223" s="132" t="s">
        <v>153</v>
      </c>
      <c r="B223" s="132" t="s">
        <v>360</v>
      </c>
      <c r="C223" s="225" t="s">
        <v>579</v>
      </c>
      <c r="D223" s="221"/>
      <c r="E223" s="221"/>
      <c r="F223" s="132" t="s">
        <v>629</v>
      </c>
      <c r="G223" s="77">
        <v>15</v>
      </c>
      <c r="H223" s="17">
        <v>0</v>
      </c>
      <c r="I223" s="12">
        <f>G223*AO223</f>
        <v>0</v>
      </c>
      <c r="J223" s="12">
        <f>G223*AP223</f>
        <v>0</v>
      </c>
      <c r="K223" s="12">
        <f>G223*H223</f>
        <v>0</v>
      </c>
      <c r="L223" s="37">
        <f>IF(K264=0,0,K223/K264)</f>
        <v>0</v>
      </c>
      <c r="M223" s="27"/>
      <c r="Z223" s="32">
        <f>IF(AQ223="5",BJ223,0)</f>
        <v>0</v>
      </c>
      <c r="AB223" s="32">
        <f>IF(AQ223="1",BH223,0)</f>
        <v>0</v>
      </c>
      <c r="AC223" s="32">
        <f>IF(AQ223="1",BI223,0)</f>
        <v>0</v>
      </c>
      <c r="AD223" s="32">
        <f>IF(AQ223="7",BH223,0)</f>
        <v>0</v>
      </c>
      <c r="AE223" s="32">
        <f>IF(AQ223="7",BI223,0)</f>
        <v>0</v>
      </c>
      <c r="AF223" s="32">
        <f>IF(AQ223="2",BH223,0)</f>
        <v>0</v>
      </c>
      <c r="AG223" s="32">
        <f>IF(AQ223="2",BI223,0)</f>
        <v>0</v>
      </c>
      <c r="AH223" s="32">
        <f>IF(AQ223="0",BJ223,0)</f>
        <v>0</v>
      </c>
      <c r="AI223" s="28"/>
      <c r="AJ223" s="12">
        <f>IF(AN223=0,K223,0)</f>
        <v>0</v>
      </c>
      <c r="AK223" s="12">
        <f>IF(AN223=15,K223,0)</f>
        <v>0</v>
      </c>
      <c r="AL223" s="12">
        <f>IF(AN223=21,K223,0)</f>
        <v>0</v>
      </c>
      <c r="AN223" s="32">
        <v>21</v>
      </c>
      <c r="AO223" s="32">
        <f>H223*1</f>
        <v>0</v>
      </c>
      <c r="AP223" s="32">
        <f>H223*(1-1)</f>
        <v>0</v>
      </c>
      <c r="AQ223" s="27" t="s">
        <v>8</v>
      </c>
      <c r="AV223" s="32">
        <f>AW223+AX223</f>
        <v>0</v>
      </c>
      <c r="AW223" s="32">
        <f>G223*AO223</f>
        <v>0</v>
      </c>
      <c r="AX223" s="32">
        <f>G223*AP223</f>
        <v>0</v>
      </c>
      <c r="AY223" s="33" t="s">
        <v>705</v>
      </c>
      <c r="AZ223" s="33" t="s">
        <v>720</v>
      </c>
      <c r="BA223" s="28" t="s">
        <v>721</v>
      </c>
      <c r="BC223" s="32">
        <f>AW223+AX223</f>
        <v>0</v>
      </c>
      <c r="BD223" s="32">
        <f>H223/(100-BE223)*100</f>
        <v>0</v>
      </c>
      <c r="BE223" s="32">
        <v>0</v>
      </c>
      <c r="BF223" s="32">
        <f>227</f>
        <v>227</v>
      </c>
      <c r="BH223" s="12">
        <f>G223*AO223</f>
        <v>0</v>
      </c>
      <c r="BI223" s="12">
        <f>G223*AP223</f>
        <v>0</v>
      </c>
      <c r="BJ223" s="12">
        <f>G223*H223</f>
        <v>0</v>
      </c>
    </row>
    <row r="224" spans="1:62" x14ac:dyDescent="0.25">
      <c r="A224" s="274"/>
      <c r="B224" s="274"/>
      <c r="C224" s="228" t="s">
        <v>580</v>
      </c>
      <c r="D224" s="229"/>
      <c r="E224" s="229"/>
      <c r="F224" s="274"/>
      <c r="G224" s="274"/>
      <c r="H224" s="19"/>
      <c r="I224" s="274"/>
      <c r="J224" s="274"/>
      <c r="K224" s="274"/>
      <c r="L224" s="274"/>
      <c r="M224" s="274"/>
    </row>
    <row r="225" spans="1:62" x14ac:dyDescent="0.25">
      <c r="A225" s="132" t="s">
        <v>154</v>
      </c>
      <c r="B225" s="132" t="s">
        <v>361</v>
      </c>
      <c r="C225" s="225" t="s">
        <v>581</v>
      </c>
      <c r="D225" s="221"/>
      <c r="E225" s="221"/>
      <c r="F225" s="132" t="s">
        <v>632</v>
      </c>
      <c r="G225" s="77">
        <v>175</v>
      </c>
      <c r="H225" s="17">
        <v>0</v>
      </c>
      <c r="I225" s="12">
        <f t="shared" ref="I225:I248" si="110">G225*AO225</f>
        <v>0</v>
      </c>
      <c r="J225" s="12">
        <f t="shared" ref="J225:J248" si="111">G225*AP225</f>
        <v>0</v>
      </c>
      <c r="K225" s="12">
        <f t="shared" ref="K225:K248" si="112">G225*H225</f>
        <v>0</v>
      </c>
      <c r="L225" s="37">
        <f>IF(K264=0,0,K225/K264)</f>
        <v>0</v>
      </c>
      <c r="M225" s="27"/>
      <c r="Z225" s="32">
        <f t="shared" ref="Z225:Z248" si="113">IF(AQ225="5",BJ225,0)</f>
        <v>0</v>
      </c>
      <c r="AB225" s="32">
        <f t="shared" ref="AB225:AB248" si="114">IF(AQ225="1",BH225,0)</f>
        <v>0</v>
      </c>
      <c r="AC225" s="32">
        <f t="shared" ref="AC225:AC248" si="115">IF(AQ225="1",BI225,0)</f>
        <v>0</v>
      </c>
      <c r="AD225" s="32">
        <f t="shared" ref="AD225:AD248" si="116">IF(AQ225="7",BH225,0)</f>
        <v>0</v>
      </c>
      <c r="AE225" s="32">
        <f t="shared" ref="AE225:AE248" si="117">IF(AQ225="7",BI225,0)</f>
        <v>0</v>
      </c>
      <c r="AF225" s="32">
        <f t="shared" ref="AF225:AF248" si="118">IF(AQ225="2",BH225,0)</f>
        <v>0</v>
      </c>
      <c r="AG225" s="32">
        <f t="shared" ref="AG225:AG248" si="119">IF(AQ225="2",BI225,0)</f>
        <v>0</v>
      </c>
      <c r="AH225" s="32">
        <f t="shared" ref="AH225:AH248" si="120">IF(AQ225="0",BJ225,0)</f>
        <v>0</v>
      </c>
      <c r="AI225" s="28"/>
      <c r="AJ225" s="12">
        <f t="shared" ref="AJ225:AJ248" si="121">IF(AN225=0,K225,0)</f>
        <v>0</v>
      </c>
      <c r="AK225" s="12">
        <f t="shared" ref="AK225:AK248" si="122">IF(AN225=15,K225,0)</f>
        <v>0</v>
      </c>
      <c r="AL225" s="12">
        <f t="shared" ref="AL225:AL248" si="123">IF(AN225=21,K225,0)</f>
        <v>0</v>
      </c>
      <c r="AN225" s="32">
        <v>21</v>
      </c>
      <c r="AO225" s="32">
        <f>H225*1</f>
        <v>0</v>
      </c>
      <c r="AP225" s="32">
        <f>H225*(1-1)</f>
        <v>0</v>
      </c>
      <c r="AQ225" s="27" t="s">
        <v>8</v>
      </c>
      <c r="AV225" s="32">
        <f t="shared" ref="AV225:AV248" si="124">AW225+AX225</f>
        <v>0</v>
      </c>
      <c r="AW225" s="32">
        <f t="shared" ref="AW225:AW248" si="125">G225*AO225</f>
        <v>0</v>
      </c>
      <c r="AX225" s="32">
        <f t="shared" ref="AX225:AX248" si="126">G225*AP225</f>
        <v>0</v>
      </c>
      <c r="AY225" s="33" t="s">
        <v>705</v>
      </c>
      <c r="AZ225" s="33" t="s">
        <v>720</v>
      </c>
      <c r="BA225" s="28" t="s">
        <v>721</v>
      </c>
      <c r="BC225" s="32">
        <f t="shared" ref="BC225:BC248" si="127">AW225+AX225</f>
        <v>0</v>
      </c>
      <c r="BD225" s="32">
        <f t="shared" ref="BD225:BD248" si="128">H225/(100-BE225)*100</f>
        <v>0</v>
      </c>
      <c r="BE225" s="32">
        <v>0</v>
      </c>
      <c r="BF225" s="32">
        <f>229</f>
        <v>229</v>
      </c>
      <c r="BH225" s="12">
        <f t="shared" ref="BH225:BH248" si="129">G225*AO225</f>
        <v>0</v>
      </c>
      <c r="BI225" s="12">
        <f t="shared" ref="BI225:BI248" si="130">G225*AP225</f>
        <v>0</v>
      </c>
      <c r="BJ225" s="12">
        <f t="shared" ref="BJ225:BJ248" si="131">G225*H225</f>
        <v>0</v>
      </c>
    </row>
    <row r="226" spans="1:62" x14ac:dyDescent="0.25">
      <c r="A226" s="132" t="s">
        <v>155</v>
      </c>
      <c r="B226" s="132" t="s">
        <v>362</v>
      </c>
      <c r="C226" s="225" t="s">
        <v>582</v>
      </c>
      <c r="D226" s="221"/>
      <c r="E226" s="221"/>
      <c r="F226" s="132" t="s">
        <v>632</v>
      </c>
      <c r="G226" s="77">
        <v>4</v>
      </c>
      <c r="H226" s="17">
        <v>0</v>
      </c>
      <c r="I226" s="12">
        <f t="shared" si="110"/>
        <v>0</v>
      </c>
      <c r="J226" s="12">
        <f t="shared" si="111"/>
        <v>0</v>
      </c>
      <c r="K226" s="12">
        <f t="shared" si="112"/>
        <v>0</v>
      </c>
      <c r="L226" s="37">
        <f>IF(K264=0,0,K226/K264)</f>
        <v>0</v>
      </c>
      <c r="M226" s="27"/>
      <c r="Z226" s="32">
        <f t="shared" si="113"/>
        <v>0</v>
      </c>
      <c r="AB226" s="32">
        <f t="shared" si="114"/>
        <v>0</v>
      </c>
      <c r="AC226" s="32">
        <f t="shared" si="115"/>
        <v>0</v>
      </c>
      <c r="AD226" s="32">
        <f t="shared" si="116"/>
        <v>0</v>
      </c>
      <c r="AE226" s="32">
        <f t="shared" si="117"/>
        <v>0</v>
      </c>
      <c r="AF226" s="32">
        <f t="shared" si="118"/>
        <v>0</v>
      </c>
      <c r="AG226" s="32">
        <f t="shared" si="119"/>
        <v>0</v>
      </c>
      <c r="AH226" s="32">
        <f t="shared" si="120"/>
        <v>0</v>
      </c>
      <c r="AI226" s="28"/>
      <c r="AJ226" s="12">
        <f t="shared" si="121"/>
        <v>0</v>
      </c>
      <c r="AK226" s="12">
        <f t="shared" si="122"/>
        <v>0</v>
      </c>
      <c r="AL226" s="12">
        <f t="shared" si="123"/>
        <v>0</v>
      </c>
      <c r="AN226" s="32">
        <v>21</v>
      </c>
      <c r="AO226" s="32">
        <f>H226*1</f>
        <v>0</v>
      </c>
      <c r="AP226" s="32">
        <f>H226*(1-1)</f>
        <v>0</v>
      </c>
      <c r="AQ226" s="27" t="s">
        <v>8</v>
      </c>
      <c r="AV226" s="32">
        <f t="shared" si="124"/>
        <v>0</v>
      </c>
      <c r="AW226" s="32">
        <f t="shared" si="125"/>
        <v>0</v>
      </c>
      <c r="AX226" s="32">
        <f t="shared" si="126"/>
        <v>0</v>
      </c>
      <c r="AY226" s="33" t="s">
        <v>705</v>
      </c>
      <c r="AZ226" s="33" t="s">
        <v>720</v>
      </c>
      <c r="BA226" s="28" t="s">
        <v>721</v>
      </c>
      <c r="BC226" s="32">
        <f t="shared" si="127"/>
        <v>0</v>
      </c>
      <c r="BD226" s="32">
        <f t="shared" si="128"/>
        <v>0</v>
      </c>
      <c r="BE226" s="32">
        <v>0</v>
      </c>
      <c r="BF226" s="32">
        <f>230</f>
        <v>230</v>
      </c>
      <c r="BH226" s="12">
        <f t="shared" si="129"/>
        <v>0</v>
      </c>
      <c r="BI226" s="12">
        <f t="shared" si="130"/>
        <v>0</v>
      </c>
      <c r="BJ226" s="12">
        <f t="shared" si="131"/>
        <v>0</v>
      </c>
    </row>
    <row r="227" spans="1:62" x14ac:dyDescent="0.25">
      <c r="A227" s="132" t="s">
        <v>156</v>
      </c>
      <c r="B227" s="132" t="s">
        <v>363</v>
      </c>
      <c r="C227" s="225" t="s">
        <v>583</v>
      </c>
      <c r="D227" s="221"/>
      <c r="E227" s="221"/>
      <c r="F227" s="132" t="s">
        <v>632</v>
      </c>
      <c r="G227" s="77">
        <v>20</v>
      </c>
      <c r="H227" s="17">
        <v>0</v>
      </c>
      <c r="I227" s="12">
        <f t="shared" si="110"/>
        <v>0</v>
      </c>
      <c r="J227" s="12">
        <f t="shared" si="111"/>
        <v>0</v>
      </c>
      <c r="K227" s="12">
        <f t="shared" si="112"/>
        <v>0</v>
      </c>
      <c r="L227" s="37">
        <f>IF(K264=0,0,K227/K264)</f>
        <v>0</v>
      </c>
      <c r="M227" s="27"/>
      <c r="Z227" s="32">
        <f t="shared" si="113"/>
        <v>0</v>
      </c>
      <c r="AB227" s="32">
        <f t="shared" si="114"/>
        <v>0</v>
      </c>
      <c r="AC227" s="32">
        <f t="shared" si="115"/>
        <v>0</v>
      </c>
      <c r="AD227" s="32">
        <f t="shared" si="116"/>
        <v>0</v>
      </c>
      <c r="AE227" s="32">
        <f t="shared" si="117"/>
        <v>0</v>
      </c>
      <c r="AF227" s="32">
        <f t="shared" si="118"/>
        <v>0</v>
      </c>
      <c r="AG227" s="32">
        <f t="shared" si="119"/>
        <v>0</v>
      </c>
      <c r="AH227" s="32">
        <f t="shared" si="120"/>
        <v>0</v>
      </c>
      <c r="AI227" s="28"/>
      <c r="AJ227" s="12">
        <f t="shared" si="121"/>
        <v>0</v>
      </c>
      <c r="AK227" s="12">
        <f t="shared" si="122"/>
        <v>0</v>
      </c>
      <c r="AL227" s="12">
        <f t="shared" si="123"/>
        <v>0</v>
      </c>
      <c r="AN227" s="32">
        <v>21</v>
      </c>
      <c r="AO227" s="32">
        <f>H227*0</f>
        <v>0</v>
      </c>
      <c r="AP227" s="32">
        <f>H227*(1-0)</f>
        <v>0</v>
      </c>
      <c r="AQ227" s="27" t="s">
        <v>8</v>
      </c>
      <c r="AV227" s="32">
        <f t="shared" si="124"/>
        <v>0</v>
      </c>
      <c r="AW227" s="32">
        <f t="shared" si="125"/>
        <v>0</v>
      </c>
      <c r="AX227" s="32">
        <f t="shared" si="126"/>
        <v>0</v>
      </c>
      <c r="AY227" s="33" t="s">
        <v>705</v>
      </c>
      <c r="AZ227" s="33" t="s">
        <v>720</v>
      </c>
      <c r="BA227" s="28" t="s">
        <v>721</v>
      </c>
      <c r="BC227" s="32">
        <f t="shared" si="127"/>
        <v>0</v>
      </c>
      <c r="BD227" s="32">
        <f t="shared" si="128"/>
        <v>0</v>
      </c>
      <c r="BE227" s="32">
        <v>0</v>
      </c>
      <c r="BF227" s="32">
        <f>231</f>
        <v>231</v>
      </c>
      <c r="BH227" s="12">
        <f t="shared" si="129"/>
        <v>0</v>
      </c>
      <c r="BI227" s="12">
        <f t="shared" si="130"/>
        <v>0</v>
      </c>
      <c r="BJ227" s="12">
        <f t="shared" si="131"/>
        <v>0</v>
      </c>
    </row>
    <row r="228" spans="1:62" x14ac:dyDescent="0.25">
      <c r="A228" s="134" t="s">
        <v>157</v>
      </c>
      <c r="B228" s="134" t="s">
        <v>364</v>
      </c>
      <c r="C228" s="235" t="s">
        <v>584</v>
      </c>
      <c r="D228" s="231"/>
      <c r="E228" s="231"/>
      <c r="F228" s="134" t="s">
        <v>633</v>
      </c>
      <c r="G228" s="78">
        <v>11.025</v>
      </c>
      <c r="H228" s="20">
        <v>0</v>
      </c>
      <c r="I228" s="13">
        <f t="shared" si="110"/>
        <v>0</v>
      </c>
      <c r="J228" s="13">
        <f t="shared" si="111"/>
        <v>0</v>
      </c>
      <c r="K228" s="13">
        <f t="shared" si="112"/>
        <v>0</v>
      </c>
      <c r="L228" s="39">
        <f>IF(K264=0,0,K228/K264)</f>
        <v>0</v>
      </c>
      <c r="M228" s="29"/>
      <c r="Z228" s="32">
        <f t="shared" si="113"/>
        <v>0</v>
      </c>
      <c r="AB228" s="32">
        <f t="shared" si="114"/>
        <v>0</v>
      </c>
      <c r="AC228" s="32">
        <f t="shared" si="115"/>
        <v>0</v>
      </c>
      <c r="AD228" s="32">
        <f t="shared" si="116"/>
        <v>0</v>
      </c>
      <c r="AE228" s="32">
        <f t="shared" si="117"/>
        <v>0</v>
      </c>
      <c r="AF228" s="32">
        <f t="shared" si="118"/>
        <v>0</v>
      </c>
      <c r="AG228" s="32">
        <f t="shared" si="119"/>
        <v>0</v>
      </c>
      <c r="AH228" s="32">
        <f t="shared" si="120"/>
        <v>0</v>
      </c>
      <c r="AI228" s="28"/>
      <c r="AJ228" s="13">
        <f t="shared" si="121"/>
        <v>0</v>
      </c>
      <c r="AK228" s="13">
        <f t="shared" si="122"/>
        <v>0</v>
      </c>
      <c r="AL228" s="13">
        <f t="shared" si="123"/>
        <v>0</v>
      </c>
      <c r="AN228" s="32">
        <v>21</v>
      </c>
      <c r="AO228" s="32">
        <f t="shared" ref="AO228:AO237" si="132">H228*1</f>
        <v>0</v>
      </c>
      <c r="AP228" s="32">
        <f t="shared" ref="AP228:AP237" si="133">H228*(1-1)</f>
        <v>0</v>
      </c>
      <c r="AQ228" s="29" t="s">
        <v>7</v>
      </c>
      <c r="AV228" s="32">
        <f t="shared" si="124"/>
        <v>0</v>
      </c>
      <c r="AW228" s="32">
        <f t="shared" si="125"/>
        <v>0</v>
      </c>
      <c r="AX228" s="32">
        <f t="shared" si="126"/>
        <v>0</v>
      </c>
      <c r="AY228" s="33" t="s">
        <v>705</v>
      </c>
      <c r="AZ228" s="33" t="s">
        <v>720</v>
      </c>
      <c r="BA228" s="28" t="s">
        <v>721</v>
      </c>
      <c r="BC228" s="32">
        <f t="shared" si="127"/>
        <v>0</v>
      </c>
      <c r="BD228" s="32">
        <f t="shared" si="128"/>
        <v>0</v>
      </c>
      <c r="BE228" s="32">
        <v>0</v>
      </c>
      <c r="BF228" s="32">
        <f>232</f>
        <v>232</v>
      </c>
      <c r="BH228" s="13">
        <f t="shared" si="129"/>
        <v>0</v>
      </c>
      <c r="BI228" s="13">
        <f t="shared" si="130"/>
        <v>0</v>
      </c>
      <c r="BJ228" s="13">
        <f t="shared" si="131"/>
        <v>0</v>
      </c>
    </row>
    <row r="229" spans="1:62" x14ac:dyDescent="0.25">
      <c r="A229" s="134" t="s">
        <v>158</v>
      </c>
      <c r="B229" s="134" t="s">
        <v>365</v>
      </c>
      <c r="C229" s="235" t="s">
        <v>585</v>
      </c>
      <c r="D229" s="231"/>
      <c r="E229" s="231"/>
      <c r="F229" s="134" t="s">
        <v>633</v>
      </c>
      <c r="G229" s="78">
        <v>65.099999999999994</v>
      </c>
      <c r="H229" s="20">
        <v>0</v>
      </c>
      <c r="I229" s="13">
        <f t="shared" si="110"/>
        <v>0</v>
      </c>
      <c r="J229" s="13">
        <f t="shared" si="111"/>
        <v>0</v>
      </c>
      <c r="K229" s="13">
        <f t="shared" si="112"/>
        <v>0</v>
      </c>
      <c r="L229" s="39">
        <f>IF(K264=0,0,K229/K264)</f>
        <v>0</v>
      </c>
      <c r="M229" s="29"/>
      <c r="Z229" s="32">
        <f t="shared" si="113"/>
        <v>0</v>
      </c>
      <c r="AB229" s="32">
        <f t="shared" si="114"/>
        <v>0</v>
      </c>
      <c r="AC229" s="32">
        <f t="shared" si="115"/>
        <v>0</v>
      </c>
      <c r="AD229" s="32">
        <f t="shared" si="116"/>
        <v>0</v>
      </c>
      <c r="AE229" s="32">
        <f t="shared" si="117"/>
        <v>0</v>
      </c>
      <c r="AF229" s="32">
        <f t="shared" si="118"/>
        <v>0</v>
      </c>
      <c r="AG229" s="32">
        <f t="shared" si="119"/>
        <v>0</v>
      </c>
      <c r="AH229" s="32">
        <f t="shared" si="120"/>
        <v>0</v>
      </c>
      <c r="AI229" s="28"/>
      <c r="AJ229" s="13">
        <f t="shared" si="121"/>
        <v>0</v>
      </c>
      <c r="AK229" s="13">
        <f t="shared" si="122"/>
        <v>0</v>
      </c>
      <c r="AL229" s="13">
        <f t="shared" si="123"/>
        <v>0</v>
      </c>
      <c r="AN229" s="32">
        <v>21</v>
      </c>
      <c r="AO229" s="32">
        <f t="shared" si="132"/>
        <v>0</v>
      </c>
      <c r="AP229" s="32">
        <f t="shared" si="133"/>
        <v>0</v>
      </c>
      <c r="AQ229" s="29" t="s">
        <v>7</v>
      </c>
      <c r="AV229" s="32">
        <f t="shared" si="124"/>
        <v>0</v>
      </c>
      <c r="AW229" s="32">
        <f t="shared" si="125"/>
        <v>0</v>
      </c>
      <c r="AX229" s="32">
        <f t="shared" si="126"/>
        <v>0</v>
      </c>
      <c r="AY229" s="33" t="s">
        <v>705</v>
      </c>
      <c r="AZ229" s="33" t="s">
        <v>720</v>
      </c>
      <c r="BA229" s="28" t="s">
        <v>721</v>
      </c>
      <c r="BC229" s="32">
        <f t="shared" si="127"/>
        <v>0</v>
      </c>
      <c r="BD229" s="32">
        <f t="shared" si="128"/>
        <v>0</v>
      </c>
      <c r="BE229" s="32">
        <v>0</v>
      </c>
      <c r="BF229" s="32">
        <f>233</f>
        <v>233</v>
      </c>
      <c r="BH229" s="13">
        <f t="shared" si="129"/>
        <v>0</v>
      </c>
      <c r="BI229" s="13">
        <f t="shared" si="130"/>
        <v>0</v>
      </c>
      <c r="BJ229" s="13">
        <f t="shared" si="131"/>
        <v>0</v>
      </c>
    </row>
    <row r="230" spans="1:62" x14ac:dyDescent="0.25">
      <c r="A230" s="134" t="s">
        <v>159</v>
      </c>
      <c r="B230" s="134" t="s">
        <v>366</v>
      </c>
      <c r="C230" s="235" t="s">
        <v>586</v>
      </c>
      <c r="D230" s="231"/>
      <c r="E230" s="231"/>
      <c r="F230" s="134" t="s">
        <v>632</v>
      </c>
      <c r="G230" s="78">
        <v>6</v>
      </c>
      <c r="H230" s="20">
        <v>0</v>
      </c>
      <c r="I230" s="13">
        <f t="shared" si="110"/>
        <v>0</v>
      </c>
      <c r="J230" s="13">
        <f t="shared" si="111"/>
        <v>0</v>
      </c>
      <c r="K230" s="13">
        <f t="shared" si="112"/>
        <v>0</v>
      </c>
      <c r="L230" s="39">
        <f>IF(K264=0,0,K230/K264)</f>
        <v>0</v>
      </c>
      <c r="M230" s="29"/>
      <c r="Z230" s="32">
        <f t="shared" si="113"/>
        <v>0</v>
      </c>
      <c r="AB230" s="32">
        <f t="shared" si="114"/>
        <v>0</v>
      </c>
      <c r="AC230" s="32">
        <f t="shared" si="115"/>
        <v>0</v>
      </c>
      <c r="AD230" s="32">
        <f t="shared" si="116"/>
        <v>0</v>
      </c>
      <c r="AE230" s="32">
        <f t="shared" si="117"/>
        <v>0</v>
      </c>
      <c r="AF230" s="32">
        <f t="shared" si="118"/>
        <v>0</v>
      </c>
      <c r="AG230" s="32">
        <f t="shared" si="119"/>
        <v>0</v>
      </c>
      <c r="AH230" s="32">
        <f t="shared" si="120"/>
        <v>0</v>
      </c>
      <c r="AI230" s="28"/>
      <c r="AJ230" s="13">
        <f t="shared" si="121"/>
        <v>0</v>
      </c>
      <c r="AK230" s="13">
        <f t="shared" si="122"/>
        <v>0</v>
      </c>
      <c r="AL230" s="13">
        <f t="shared" si="123"/>
        <v>0</v>
      </c>
      <c r="AN230" s="32">
        <v>21</v>
      </c>
      <c r="AO230" s="32">
        <f t="shared" si="132"/>
        <v>0</v>
      </c>
      <c r="AP230" s="32">
        <f t="shared" si="133"/>
        <v>0</v>
      </c>
      <c r="AQ230" s="29" t="s">
        <v>7</v>
      </c>
      <c r="AV230" s="32">
        <f t="shared" si="124"/>
        <v>0</v>
      </c>
      <c r="AW230" s="32">
        <f t="shared" si="125"/>
        <v>0</v>
      </c>
      <c r="AX230" s="32">
        <f t="shared" si="126"/>
        <v>0</v>
      </c>
      <c r="AY230" s="33" t="s">
        <v>705</v>
      </c>
      <c r="AZ230" s="33" t="s">
        <v>720</v>
      </c>
      <c r="BA230" s="28" t="s">
        <v>721</v>
      </c>
      <c r="BC230" s="32">
        <f t="shared" si="127"/>
        <v>0</v>
      </c>
      <c r="BD230" s="32">
        <f t="shared" si="128"/>
        <v>0</v>
      </c>
      <c r="BE230" s="32">
        <v>0</v>
      </c>
      <c r="BF230" s="32">
        <f>234</f>
        <v>234</v>
      </c>
      <c r="BH230" s="13">
        <f t="shared" si="129"/>
        <v>0</v>
      </c>
      <c r="BI230" s="13">
        <f t="shared" si="130"/>
        <v>0</v>
      </c>
      <c r="BJ230" s="13">
        <f t="shared" si="131"/>
        <v>0</v>
      </c>
    </row>
    <row r="231" spans="1:62" x14ac:dyDescent="0.25">
      <c r="A231" s="134" t="s">
        <v>160</v>
      </c>
      <c r="B231" s="134" t="s">
        <v>367</v>
      </c>
      <c r="C231" s="235" t="s">
        <v>587</v>
      </c>
      <c r="D231" s="231"/>
      <c r="E231" s="231"/>
      <c r="F231" s="134" t="s">
        <v>633</v>
      </c>
      <c r="G231" s="78">
        <v>0.375</v>
      </c>
      <c r="H231" s="20">
        <v>0</v>
      </c>
      <c r="I231" s="13">
        <f t="shared" si="110"/>
        <v>0</v>
      </c>
      <c r="J231" s="13">
        <f t="shared" si="111"/>
        <v>0</v>
      </c>
      <c r="K231" s="13">
        <f t="shared" si="112"/>
        <v>0</v>
      </c>
      <c r="L231" s="39">
        <f>IF(K264=0,0,K231/K264)</f>
        <v>0</v>
      </c>
      <c r="M231" s="29"/>
      <c r="Z231" s="32">
        <f t="shared" si="113"/>
        <v>0</v>
      </c>
      <c r="AB231" s="32">
        <f t="shared" si="114"/>
        <v>0</v>
      </c>
      <c r="AC231" s="32">
        <f t="shared" si="115"/>
        <v>0</v>
      </c>
      <c r="AD231" s="32">
        <f t="shared" si="116"/>
        <v>0</v>
      </c>
      <c r="AE231" s="32">
        <f t="shared" si="117"/>
        <v>0</v>
      </c>
      <c r="AF231" s="32">
        <f t="shared" si="118"/>
        <v>0</v>
      </c>
      <c r="AG231" s="32">
        <f t="shared" si="119"/>
        <v>0</v>
      </c>
      <c r="AH231" s="32">
        <f t="shared" si="120"/>
        <v>0</v>
      </c>
      <c r="AI231" s="28"/>
      <c r="AJ231" s="13">
        <f t="shared" si="121"/>
        <v>0</v>
      </c>
      <c r="AK231" s="13">
        <f t="shared" si="122"/>
        <v>0</v>
      </c>
      <c r="AL231" s="13">
        <f t="shared" si="123"/>
        <v>0</v>
      </c>
      <c r="AN231" s="32">
        <v>21</v>
      </c>
      <c r="AO231" s="32">
        <f t="shared" si="132"/>
        <v>0</v>
      </c>
      <c r="AP231" s="32">
        <f t="shared" si="133"/>
        <v>0</v>
      </c>
      <c r="AQ231" s="29" t="s">
        <v>7</v>
      </c>
      <c r="AV231" s="32">
        <f t="shared" si="124"/>
        <v>0</v>
      </c>
      <c r="AW231" s="32">
        <f t="shared" si="125"/>
        <v>0</v>
      </c>
      <c r="AX231" s="32">
        <f t="shared" si="126"/>
        <v>0</v>
      </c>
      <c r="AY231" s="33" t="s">
        <v>705</v>
      </c>
      <c r="AZ231" s="33" t="s">
        <v>720</v>
      </c>
      <c r="BA231" s="28" t="s">
        <v>721</v>
      </c>
      <c r="BC231" s="32">
        <f t="shared" si="127"/>
        <v>0</v>
      </c>
      <c r="BD231" s="32">
        <f t="shared" si="128"/>
        <v>0</v>
      </c>
      <c r="BE231" s="32">
        <v>0</v>
      </c>
      <c r="BF231" s="32">
        <f>235</f>
        <v>235</v>
      </c>
      <c r="BH231" s="13">
        <f t="shared" si="129"/>
        <v>0</v>
      </c>
      <c r="BI231" s="13">
        <f t="shared" si="130"/>
        <v>0</v>
      </c>
      <c r="BJ231" s="13">
        <f t="shared" si="131"/>
        <v>0</v>
      </c>
    </row>
    <row r="232" spans="1:62" x14ac:dyDescent="0.25">
      <c r="A232" s="134" t="s">
        <v>161</v>
      </c>
      <c r="B232" s="134" t="s">
        <v>368</v>
      </c>
      <c r="C232" s="235" t="s">
        <v>588</v>
      </c>
      <c r="D232" s="231"/>
      <c r="E232" s="231"/>
      <c r="F232" s="134" t="s">
        <v>633</v>
      </c>
      <c r="G232" s="78">
        <v>21.84</v>
      </c>
      <c r="H232" s="20">
        <v>0</v>
      </c>
      <c r="I232" s="13">
        <f t="shared" si="110"/>
        <v>0</v>
      </c>
      <c r="J232" s="13">
        <f t="shared" si="111"/>
        <v>0</v>
      </c>
      <c r="K232" s="13">
        <f t="shared" si="112"/>
        <v>0</v>
      </c>
      <c r="L232" s="39">
        <f>IF(K264=0,0,K232/K264)</f>
        <v>0</v>
      </c>
      <c r="M232" s="29"/>
      <c r="Z232" s="32">
        <f t="shared" si="113"/>
        <v>0</v>
      </c>
      <c r="AB232" s="32">
        <f t="shared" si="114"/>
        <v>0</v>
      </c>
      <c r="AC232" s="32">
        <f t="shared" si="115"/>
        <v>0</v>
      </c>
      <c r="AD232" s="32">
        <f t="shared" si="116"/>
        <v>0</v>
      </c>
      <c r="AE232" s="32">
        <f t="shared" si="117"/>
        <v>0</v>
      </c>
      <c r="AF232" s="32">
        <f t="shared" si="118"/>
        <v>0</v>
      </c>
      <c r="AG232" s="32">
        <f t="shared" si="119"/>
        <v>0</v>
      </c>
      <c r="AH232" s="32">
        <f t="shared" si="120"/>
        <v>0</v>
      </c>
      <c r="AI232" s="28"/>
      <c r="AJ232" s="13">
        <f t="shared" si="121"/>
        <v>0</v>
      </c>
      <c r="AK232" s="13">
        <f t="shared" si="122"/>
        <v>0</v>
      </c>
      <c r="AL232" s="13">
        <f t="shared" si="123"/>
        <v>0</v>
      </c>
      <c r="AN232" s="32">
        <v>21</v>
      </c>
      <c r="AO232" s="32">
        <f t="shared" si="132"/>
        <v>0</v>
      </c>
      <c r="AP232" s="32">
        <f t="shared" si="133"/>
        <v>0</v>
      </c>
      <c r="AQ232" s="29" t="s">
        <v>7</v>
      </c>
      <c r="AV232" s="32">
        <f t="shared" si="124"/>
        <v>0</v>
      </c>
      <c r="AW232" s="32">
        <f t="shared" si="125"/>
        <v>0</v>
      </c>
      <c r="AX232" s="32">
        <f t="shared" si="126"/>
        <v>0</v>
      </c>
      <c r="AY232" s="33" t="s">
        <v>705</v>
      </c>
      <c r="AZ232" s="33" t="s">
        <v>720</v>
      </c>
      <c r="BA232" s="28" t="s">
        <v>721</v>
      </c>
      <c r="BC232" s="32">
        <f t="shared" si="127"/>
        <v>0</v>
      </c>
      <c r="BD232" s="32">
        <f t="shared" si="128"/>
        <v>0</v>
      </c>
      <c r="BE232" s="32">
        <v>0</v>
      </c>
      <c r="BF232" s="32">
        <f>236</f>
        <v>236</v>
      </c>
      <c r="BH232" s="13">
        <f t="shared" si="129"/>
        <v>0</v>
      </c>
      <c r="BI232" s="13">
        <f t="shared" si="130"/>
        <v>0</v>
      </c>
      <c r="BJ232" s="13">
        <f t="shared" si="131"/>
        <v>0</v>
      </c>
    </row>
    <row r="233" spans="1:62" x14ac:dyDescent="0.25">
      <c r="A233" s="134" t="s">
        <v>162</v>
      </c>
      <c r="B233" s="134" t="s">
        <v>369</v>
      </c>
      <c r="C233" s="235" t="s">
        <v>589</v>
      </c>
      <c r="D233" s="231"/>
      <c r="E233" s="231"/>
      <c r="F233" s="134" t="s">
        <v>632</v>
      </c>
      <c r="G233" s="78">
        <v>11</v>
      </c>
      <c r="H233" s="20">
        <v>0</v>
      </c>
      <c r="I233" s="13">
        <f t="shared" si="110"/>
        <v>0</v>
      </c>
      <c r="J233" s="13">
        <f t="shared" si="111"/>
        <v>0</v>
      </c>
      <c r="K233" s="13">
        <f t="shared" si="112"/>
        <v>0</v>
      </c>
      <c r="L233" s="39">
        <f>IF(K264=0,0,K233/K264)</f>
        <v>0</v>
      </c>
      <c r="M233" s="29"/>
      <c r="Z233" s="32">
        <f t="shared" si="113"/>
        <v>0</v>
      </c>
      <c r="AB233" s="32">
        <f t="shared" si="114"/>
        <v>0</v>
      </c>
      <c r="AC233" s="32">
        <f t="shared" si="115"/>
        <v>0</v>
      </c>
      <c r="AD233" s="32">
        <f t="shared" si="116"/>
        <v>0</v>
      </c>
      <c r="AE233" s="32">
        <f t="shared" si="117"/>
        <v>0</v>
      </c>
      <c r="AF233" s="32">
        <f t="shared" si="118"/>
        <v>0</v>
      </c>
      <c r="AG233" s="32">
        <f t="shared" si="119"/>
        <v>0</v>
      </c>
      <c r="AH233" s="32">
        <f t="shared" si="120"/>
        <v>0</v>
      </c>
      <c r="AI233" s="28"/>
      <c r="AJ233" s="13">
        <f t="shared" si="121"/>
        <v>0</v>
      </c>
      <c r="AK233" s="13">
        <f t="shared" si="122"/>
        <v>0</v>
      </c>
      <c r="AL233" s="13">
        <f t="shared" si="123"/>
        <v>0</v>
      </c>
      <c r="AN233" s="32">
        <v>21</v>
      </c>
      <c r="AO233" s="32">
        <f t="shared" si="132"/>
        <v>0</v>
      </c>
      <c r="AP233" s="32">
        <f t="shared" si="133"/>
        <v>0</v>
      </c>
      <c r="AQ233" s="29" t="s">
        <v>7</v>
      </c>
      <c r="AV233" s="32">
        <f t="shared" si="124"/>
        <v>0</v>
      </c>
      <c r="AW233" s="32">
        <f t="shared" si="125"/>
        <v>0</v>
      </c>
      <c r="AX233" s="32">
        <f t="shared" si="126"/>
        <v>0</v>
      </c>
      <c r="AY233" s="33" t="s">
        <v>705</v>
      </c>
      <c r="AZ233" s="33" t="s">
        <v>720</v>
      </c>
      <c r="BA233" s="28" t="s">
        <v>721</v>
      </c>
      <c r="BC233" s="32">
        <f t="shared" si="127"/>
        <v>0</v>
      </c>
      <c r="BD233" s="32">
        <f t="shared" si="128"/>
        <v>0</v>
      </c>
      <c r="BE233" s="32">
        <v>0</v>
      </c>
      <c r="BF233" s="32">
        <f>237</f>
        <v>237</v>
      </c>
      <c r="BH233" s="13">
        <f t="shared" si="129"/>
        <v>0</v>
      </c>
      <c r="BI233" s="13">
        <f t="shared" si="130"/>
        <v>0</v>
      </c>
      <c r="BJ233" s="13">
        <f t="shared" si="131"/>
        <v>0</v>
      </c>
    </row>
    <row r="234" spans="1:62" x14ac:dyDescent="0.25">
      <c r="A234" s="134" t="s">
        <v>163</v>
      </c>
      <c r="B234" s="134" t="s">
        <v>370</v>
      </c>
      <c r="C234" s="235" t="s">
        <v>590</v>
      </c>
      <c r="D234" s="231"/>
      <c r="E234" s="231"/>
      <c r="F234" s="134" t="s">
        <v>632</v>
      </c>
      <c r="G234" s="78">
        <v>4</v>
      </c>
      <c r="H234" s="20">
        <v>0</v>
      </c>
      <c r="I234" s="13">
        <f t="shared" si="110"/>
        <v>0</v>
      </c>
      <c r="J234" s="13">
        <f t="shared" si="111"/>
        <v>0</v>
      </c>
      <c r="K234" s="13">
        <f t="shared" si="112"/>
        <v>0</v>
      </c>
      <c r="L234" s="39">
        <f>IF(K264=0,0,K234/K264)</f>
        <v>0</v>
      </c>
      <c r="M234" s="29"/>
      <c r="Z234" s="32">
        <f t="shared" si="113"/>
        <v>0</v>
      </c>
      <c r="AB234" s="32">
        <f t="shared" si="114"/>
        <v>0</v>
      </c>
      <c r="AC234" s="32">
        <f t="shared" si="115"/>
        <v>0</v>
      </c>
      <c r="AD234" s="32">
        <f t="shared" si="116"/>
        <v>0</v>
      </c>
      <c r="AE234" s="32">
        <f t="shared" si="117"/>
        <v>0</v>
      </c>
      <c r="AF234" s="32">
        <f t="shared" si="118"/>
        <v>0</v>
      </c>
      <c r="AG234" s="32">
        <f t="shared" si="119"/>
        <v>0</v>
      </c>
      <c r="AH234" s="32">
        <f t="shared" si="120"/>
        <v>0</v>
      </c>
      <c r="AI234" s="28"/>
      <c r="AJ234" s="13">
        <f t="shared" si="121"/>
        <v>0</v>
      </c>
      <c r="AK234" s="13">
        <f t="shared" si="122"/>
        <v>0</v>
      </c>
      <c r="AL234" s="13">
        <f t="shared" si="123"/>
        <v>0</v>
      </c>
      <c r="AN234" s="32">
        <v>21</v>
      </c>
      <c r="AO234" s="32">
        <f t="shared" si="132"/>
        <v>0</v>
      </c>
      <c r="AP234" s="32">
        <f t="shared" si="133"/>
        <v>0</v>
      </c>
      <c r="AQ234" s="29" t="s">
        <v>7</v>
      </c>
      <c r="AV234" s="32">
        <f t="shared" si="124"/>
        <v>0</v>
      </c>
      <c r="AW234" s="32">
        <f t="shared" si="125"/>
        <v>0</v>
      </c>
      <c r="AX234" s="32">
        <f t="shared" si="126"/>
        <v>0</v>
      </c>
      <c r="AY234" s="33" t="s">
        <v>705</v>
      </c>
      <c r="AZ234" s="33" t="s">
        <v>720</v>
      </c>
      <c r="BA234" s="28" t="s">
        <v>721</v>
      </c>
      <c r="BC234" s="32">
        <f t="shared" si="127"/>
        <v>0</v>
      </c>
      <c r="BD234" s="32">
        <f t="shared" si="128"/>
        <v>0</v>
      </c>
      <c r="BE234" s="32">
        <v>0</v>
      </c>
      <c r="BF234" s="32">
        <f>238</f>
        <v>238</v>
      </c>
      <c r="BH234" s="13">
        <f t="shared" si="129"/>
        <v>0</v>
      </c>
      <c r="BI234" s="13">
        <f t="shared" si="130"/>
        <v>0</v>
      </c>
      <c r="BJ234" s="13">
        <f t="shared" si="131"/>
        <v>0</v>
      </c>
    </row>
    <row r="235" spans="1:62" x14ac:dyDescent="0.25">
      <c r="A235" s="134" t="s">
        <v>164</v>
      </c>
      <c r="B235" s="134" t="s">
        <v>371</v>
      </c>
      <c r="C235" s="235" t="s">
        <v>591</v>
      </c>
      <c r="D235" s="231"/>
      <c r="E235" s="231"/>
      <c r="F235" s="134" t="s">
        <v>632</v>
      </c>
      <c r="G235" s="78">
        <v>151</v>
      </c>
      <c r="H235" s="20">
        <v>0</v>
      </c>
      <c r="I235" s="13">
        <f t="shared" si="110"/>
        <v>0</v>
      </c>
      <c r="J235" s="13">
        <f t="shared" si="111"/>
        <v>0</v>
      </c>
      <c r="K235" s="13">
        <f t="shared" si="112"/>
        <v>0</v>
      </c>
      <c r="L235" s="39">
        <f>IF(K264=0,0,K235/K264)</f>
        <v>0</v>
      </c>
      <c r="M235" s="29"/>
      <c r="Z235" s="32">
        <f t="shared" si="113"/>
        <v>0</v>
      </c>
      <c r="AB235" s="32">
        <f t="shared" si="114"/>
        <v>0</v>
      </c>
      <c r="AC235" s="32">
        <f t="shared" si="115"/>
        <v>0</v>
      </c>
      <c r="AD235" s="32">
        <f t="shared" si="116"/>
        <v>0</v>
      </c>
      <c r="AE235" s="32">
        <f t="shared" si="117"/>
        <v>0</v>
      </c>
      <c r="AF235" s="32">
        <f t="shared" si="118"/>
        <v>0</v>
      </c>
      <c r="AG235" s="32">
        <f t="shared" si="119"/>
        <v>0</v>
      </c>
      <c r="AH235" s="32">
        <f t="shared" si="120"/>
        <v>0</v>
      </c>
      <c r="AI235" s="28"/>
      <c r="AJ235" s="13">
        <f t="shared" si="121"/>
        <v>0</v>
      </c>
      <c r="AK235" s="13">
        <f t="shared" si="122"/>
        <v>0</v>
      </c>
      <c r="AL235" s="13">
        <f t="shared" si="123"/>
        <v>0</v>
      </c>
      <c r="AN235" s="32">
        <v>21</v>
      </c>
      <c r="AO235" s="32">
        <f t="shared" si="132"/>
        <v>0</v>
      </c>
      <c r="AP235" s="32">
        <f t="shared" si="133"/>
        <v>0</v>
      </c>
      <c r="AQ235" s="29" t="s">
        <v>7</v>
      </c>
      <c r="AV235" s="32">
        <f t="shared" si="124"/>
        <v>0</v>
      </c>
      <c r="AW235" s="32">
        <f t="shared" si="125"/>
        <v>0</v>
      </c>
      <c r="AX235" s="32">
        <f t="shared" si="126"/>
        <v>0</v>
      </c>
      <c r="AY235" s="33" t="s">
        <v>705</v>
      </c>
      <c r="AZ235" s="33" t="s">
        <v>720</v>
      </c>
      <c r="BA235" s="28" t="s">
        <v>721</v>
      </c>
      <c r="BC235" s="32">
        <f t="shared" si="127"/>
        <v>0</v>
      </c>
      <c r="BD235" s="32">
        <f t="shared" si="128"/>
        <v>0</v>
      </c>
      <c r="BE235" s="32">
        <v>0</v>
      </c>
      <c r="BF235" s="32">
        <f>239</f>
        <v>239</v>
      </c>
      <c r="BH235" s="13">
        <f t="shared" si="129"/>
        <v>0</v>
      </c>
      <c r="BI235" s="13">
        <f t="shared" si="130"/>
        <v>0</v>
      </c>
      <c r="BJ235" s="13">
        <f t="shared" si="131"/>
        <v>0</v>
      </c>
    </row>
    <row r="236" spans="1:62" x14ac:dyDescent="0.25">
      <c r="A236" s="134" t="s">
        <v>165</v>
      </c>
      <c r="B236" s="134" t="s">
        <v>372</v>
      </c>
      <c r="C236" s="235" t="s">
        <v>586</v>
      </c>
      <c r="D236" s="231"/>
      <c r="E236" s="231"/>
      <c r="F236" s="134" t="s">
        <v>632</v>
      </c>
      <c r="G236" s="78">
        <v>14</v>
      </c>
      <c r="H236" s="20">
        <v>0</v>
      </c>
      <c r="I236" s="13">
        <f t="shared" si="110"/>
        <v>0</v>
      </c>
      <c r="J236" s="13">
        <f t="shared" si="111"/>
        <v>0</v>
      </c>
      <c r="K236" s="13">
        <f t="shared" si="112"/>
        <v>0</v>
      </c>
      <c r="L236" s="39">
        <f>IF(K264=0,0,K236/K264)</f>
        <v>0</v>
      </c>
      <c r="M236" s="29"/>
      <c r="Z236" s="32">
        <f t="shared" si="113"/>
        <v>0</v>
      </c>
      <c r="AB236" s="32">
        <f t="shared" si="114"/>
        <v>0</v>
      </c>
      <c r="AC236" s="32">
        <f t="shared" si="115"/>
        <v>0</v>
      </c>
      <c r="AD236" s="32">
        <f t="shared" si="116"/>
        <v>0</v>
      </c>
      <c r="AE236" s="32">
        <f t="shared" si="117"/>
        <v>0</v>
      </c>
      <c r="AF236" s="32">
        <f t="shared" si="118"/>
        <v>0</v>
      </c>
      <c r="AG236" s="32">
        <f t="shared" si="119"/>
        <v>0</v>
      </c>
      <c r="AH236" s="32">
        <f t="shared" si="120"/>
        <v>0</v>
      </c>
      <c r="AI236" s="28"/>
      <c r="AJ236" s="13">
        <f t="shared" si="121"/>
        <v>0</v>
      </c>
      <c r="AK236" s="13">
        <f t="shared" si="122"/>
        <v>0</v>
      </c>
      <c r="AL236" s="13">
        <f t="shared" si="123"/>
        <v>0</v>
      </c>
      <c r="AN236" s="32">
        <v>21</v>
      </c>
      <c r="AO236" s="32">
        <f t="shared" si="132"/>
        <v>0</v>
      </c>
      <c r="AP236" s="32">
        <f t="shared" si="133"/>
        <v>0</v>
      </c>
      <c r="AQ236" s="29" t="s">
        <v>7</v>
      </c>
      <c r="AV236" s="32">
        <f t="shared" si="124"/>
        <v>0</v>
      </c>
      <c r="AW236" s="32">
        <f t="shared" si="125"/>
        <v>0</v>
      </c>
      <c r="AX236" s="32">
        <f t="shared" si="126"/>
        <v>0</v>
      </c>
      <c r="AY236" s="33" t="s">
        <v>705</v>
      </c>
      <c r="AZ236" s="33" t="s">
        <v>720</v>
      </c>
      <c r="BA236" s="28" t="s">
        <v>721</v>
      </c>
      <c r="BC236" s="32">
        <f t="shared" si="127"/>
        <v>0</v>
      </c>
      <c r="BD236" s="32">
        <f t="shared" si="128"/>
        <v>0</v>
      </c>
      <c r="BE236" s="32">
        <v>0</v>
      </c>
      <c r="BF236" s="32">
        <f>240</f>
        <v>240</v>
      </c>
      <c r="BH236" s="13">
        <f t="shared" si="129"/>
        <v>0</v>
      </c>
      <c r="BI236" s="13">
        <f t="shared" si="130"/>
        <v>0</v>
      </c>
      <c r="BJ236" s="13">
        <f t="shared" si="131"/>
        <v>0</v>
      </c>
    </row>
    <row r="237" spans="1:62" x14ac:dyDescent="0.25">
      <c r="A237" s="134" t="s">
        <v>166</v>
      </c>
      <c r="B237" s="134" t="s">
        <v>373</v>
      </c>
      <c r="C237" s="235" t="s">
        <v>592</v>
      </c>
      <c r="D237" s="231"/>
      <c r="E237" s="231"/>
      <c r="F237" s="134" t="s">
        <v>632</v>
      </c>
      <c r="G237" s="78">
        <v>4</v>
      </c>
      <c r="H237" s="20">
        <v>0</v>
      </c>
      <c r="I237" s="13">
        <f t="shared" si="110"/>
        <v>0</v>
      </c>
      <c r="J237" s="13">
        <f t="shared" si="111"/>
        <v>0</v>
      </c>
      <c r="K237" s="13">
        <f t="shared" si="112"/>
        <v>0</v>
      </c>
      <c r="L237" s="39">
        <f>IF(K264=0,0,K237/K264)</f>
        <v>0</v>
      </c>
      <c r="M237" s="29"/>
      <c r="Z237" s="32">
        <f t="shared" si="113"/>
        <v>0</v>
      </c>
      <c r="AB237" s="32">
        <f t="shared" si="114"/>
        <v>0</v>
      </c>
      <c r="AC237" s="32">
        <f t="shared" si="115"/>
        <v>0</v>
      </c>
      <c r="AD237" s="32">
        <f t="shared" si="116"/>
        <v>0</v>
      </c>
      <c r="AE237" s="32">
        <f t="shared" si="117"/>
        <v>0</v>
      </c>
      <c r="AF237" s="32">
        <f t="shared" si="118"/>
        <v>0</v>
      </c>
      <c r="AG237" s="32">
        <f t="shared" si="119"/>
        <v>0</v>
      </c>
      <c r="AH237" s="32">
        <f t="shared" si="120"/>
        <v>0</v>
      </c>
      <c r="AI237" s="28"/>
      <c r="AJ237" s="13">
        <f t="shared" si="121"/>
        <v>0</v>
      </c>
      <c r="AK237" s="13">
        <f t="shared" si="122"/>
        <v>0</v>
      </c>
      <c r="AL237" s="13">
        <f t="shared" si="123"/>
        <v>0</v>
      </c>
      <c r="AN237" s="32">
        <v>21</v>
      </c>
      <c r="AO237" s="32">
        <f t="shared" si="132"/>
        <v>0</v>
      </c>
      <c r="AP237" s="32">
        <f t="shared" si="133"/>
        <v>0</v>
      </c>
      <c r="AQ237" s="29" t="s">
        <v>7</v>
      </c>
      <c r="AV237" s="32">
        <f t="shared" si="124"/>
        <v>0</v>
      </c>
      <c r="AW237" s="32">
        <f t="shared" si="125"/>
        <v>0</v>
      </c>
      <c r="AX237" s="32">
        <f t="shared" si="126"/>
        <v>0</v>
      </c>
      <c r="AY237" s="33" t="s">
        <v>705</v>
      </c>
      <c r="AZ237" s="33" t="s">
        <v>720</v>
      </c>
      <c r="BA237" s="28" t="s">
        <v>721</v>
      </c>
      <c r="BC237" s="32">
        <f t="shared" si="127"/>
        <v>0</v>
      </c>
      <c r="BD237" s="32">
        <f t="shared" si="128"/>
        <v>0</v>
      </c>
      <c r="BE237" s="32">
        <v>0</v>
      </c>
      <c r="BF237" s="32">
        <f>241</f>
        <v>241</v>
      </c>
      <c r="BH237" s="13">
        <f t="shared" si="129"/>
        <v>0</v>
      </c>
      <c r="BI237" s="13">
        <f t="shared" si="130"/>
        <v>0</v>
      </c>
      <c r="BJ237" s="13">
        <f t="shared" si="131"/>
        <v>0</v>
      </c>
    </row>
    <row r="238" spans="1:62" x14ac:dyDescent="0.25">
      <c r="A238" s="132" t="s">
        <v>167</v>
      </c>
      <c r="B238" s="132" t="s">
        <v>374</v>
      </c>
      <c r="C238" s="225" t="s">
        <v>593</v>
      </c>
      <c r="D238" s="221"/>
      <c r="E238" s="221"/>
      <c r="F238" s="132" t="s">
        <v>629</v>
      </c>
      <c r="G238" s="77">
        <v>146</v>
      </c>
      <c r="H238" s="17">
        <v>0</v>
      </c>
      <c r="I238" s="12">
        <f t="shared" si="110"/>
        <v>0</v>
      </c>
      <c r="J238" s="12">
        <f t="shared" si="111"/>
        <v>0</v>
      </c>
      <c r="K238" s="12">
        <f t="shared" si="112"/>
        <v>0</v>
      </c>
      <c r="L238" s="37">
        <f>IF(K264=0,0,K238/K264)</f>
        <v>0</v>
      </c>
      <c r="M238" s="27"/>
      <c r="Z238" s="32">
        <f t="shared" si="113"/>
        <v>0</v>
      </c>
      <c r="AB238" s="32">
        <f t="shared" si="114"/>
        <v>0</v>
      </c>
      <c r="AC238" s="32">
        <f t="shared" si="115"/>
        <v>0</v>
      </c>
      <c r="AD238" s="32">
        <f t="shared" si="116"/>
        <v>0</v>
      </c>
      <c r="AE238" s="32">
        <f t="shared" si="117"/>
        <v>0</v>
      </c>
      <c r="AF238" s="32">
        <f t="shared" si="118"/>
        <v>0</v>
      </c>
      <c r="AG238" s="32">
        <f t="shared" si="119"/>
        <v>0</v>
      </c>
      <c r="AH238" s="32">
        <f t="shared" si="120"/>
        <v>0</v>
      </c>
      <c r="AI238" s="28"/>
      <c r="AJ238" s="12">
        <f t="shared" si="121"/>
        <v>0</v>
      </c>
      <c r="AK238" s="12">
        <f t="shared" si="122"/>
        <v>0</v>
      </c>
      <c r="AL238" s="12">
        <f t="shared" si="123"/>
        <v>0</v>
      </c>
      <c r="AN238" s="32">
        <v>21</v>
      </c>
      <c r="AO238" s="32">
        <f t="shared" ref="AO238:AO248" si="134">H238*0</f>
        <v>0</v>
      </c>
      <c r="AP238" s="32">
        <f t="shared" ref="AP238:AP248" si="135">H238*(1-0)</f>
        <v>0</v>
      </c>
      <c r="AQ238" s="27" t="s">
        <v>8</v>
      </c>
      <c r="AV238" s="32">
        <f t="shared" si="124"/>
        <v>0</v>
      </c>
      <c r="AW238" s="32">
        <f t="shared" si="125"/>
        <v>0</v>
      </c>
      <c r="AX238" s="32">
        <f t="shared" si="126"/>
        <v>0</v>
      </c>
      <c r="AY238" s="33" t="s">
        <v>705</v>
      </c>
      <c r="AZ238" s="33" t="s">
        <v>720</v>
      </c>
      <c r="BA238" s="28" t="s">
        <v>721</v>
      </c>
      <c r="BC238" s="32">
        <f t="shared" si="127"/>
        <v>0</v>
      </c>
      <c r="BD238" s="32">
        <f t="shared" si="128"/>
        <v>0</v>
      </c>
      <c r="BE238" s="32">
        <v>0</v>
      </c>
      <c r="BF238" s="32">
        <f>242</f>
        <v>242</v>
      </c>
      <c r="BH238" s="12">
        <f t="shared" si="129"/>
        <v>0</v>
      </c>
      <c r="BI238" s="12">
        <f t="shared" si="130"/>
        <v>0</v>
      </c>
      <c r="BJ238" s="12">
        <f t="shared" si="131"/>
        <v>0</v>
      </c>
    </row>
    <row r="239" spans="1:62" x14ac:dyDescent="0.25">
      <c r="A239" s="132" t="s">
        <v>168</v>
      </c>
      <c r="B239" s="132" t="s">
        <v>375</v>
      </c>
      <c r="C239" s="225" t="s">
        <v>594</v>
      </c>
      <c r="D239" s="221"/>
      <c r="E239" s="221"/>
      <c r="F239" s="132" t="s">
        <v>632</v>
      </c>
      <c r="G239" s="77">
        <v>5</v>
      </c>
      <c r="H239" s="17">
        <v>0</v>
      </c>
      <c r="I239" s="12">
        <f t="shared" si="110"/>
        <v>0</v>
      </c>
      <c r="J239" s="12">
        <f t="shared" si="111"/>
        <v>0</v>
      </c>
      <c r="K239" s="12">
        <f t="shared" si="112"/>
        <v>0</v>
      </c>
      <c r="L239" s="37">
        <f>IF(K264=0,0,K239/K264)</f>
        <v>0</v>
      </c>
      <c r="M239" s="27"/>
      <c r="Z239" s="32">
        <f t="shared" si="113"/>
        <v>0</v>
      </c>
      <c r="AB239" s="32">
        <f t="shared" si="114"/>
        <v>0</v>
      </c>
      <c r="AC239" s="32">
        <f t="shared" si="115"/>
        <v>0</v>
      </c>
      <c r="AD239" s="32">
        <f t="shared" si="116"/>
        <v>0</v>
      </c>
      <c r="AE239" s="32">
        <f t="shared" si="117"/>
        <v>0</v>
      </c>
      <c r="AF239" s="32">
        <f t="shared" si="118"/>
        <v>0</v>
      </c>
      <c r="AG239" s="32">
        <f t="shared" si="119"/>
        <v>0</v>
      </c>
      <c r="AH239" s="32">
        <f t="shared" si="120"/>
        <v>0</v>
      </c>
      <c r="AI239" s="28"/>
      <c r="AJ239" s="12">
        <f t="shared" si="121"/>
        <v>0</v>
      </c>
      <c r="AK239" s="12">
        <f t="shared" si="122"/>
        <v>0</v>
      </c>
      <c r="AL239" s="12">
        <f t="shared" si="123"/>
        <v>0</v>
      </c>
      <c r="AN239" s="32">
        <v>21</v>
      </c>
      <c r="AO239" s="32">
        <f t="shared" si="134"/>
        <v>0</v>
      </c>
      <c r="AP239" s="32">
        <f t="shared" si="135"/>
        <v>0</v>
      </c>
      <c r="AQ239" s="27" t="s">
        <v>8</v>
      </c>
      <c r="AV239" s="32">
        <f t="shared" si="124"/>
        <v>0</v>
      </c>
      <c r="AW239" s="32">
        <f t="shared" si="125"/>
        <v>0</v>
      </c>
      <c r="AX239" s="32">
        <f t="shared" si="126"/>
        <v>0</v>
      </c>
      <c r="AY239" s="33" t="s">
        <v>705</v>
      </c>
      <c r="AZ239" s="33" t="s">
        <v>720</v>
      </c>
      <c r="BA239" s="28" t="s">
        <v>721</v>
      </c>
      <c r="BC239" s="32">
        <f t="shared" si="127"/>
        <v>0</v>
      </c>
      <c r="BD239" s="32">
        <f t="shared" si="128"/>
        <v>0</v>
      </c>
      <c r="BE239" s="32">
        <v>0</v>
      </c>
      <c r="BF239" s="32">
        <f>243</f>
        <v>243</v>
      </c>
      <c r="BH239" s="12">
        <f t="shared" si="129"/>
        <v>0</v>
      </c>
      <c r="BI239" s="12">
        <f t="shared" si="130"/>
        <v>0</v>
      </c>
      <c r="BJ239" s="12">
        <f t="shared" si="131"/>
        <v>0</v>
      </c>
    </row>
    <row r="240" spans="1:62" x14ac:dyDescent="0.25">
      <c r="A240" s="132" t="s">
        <v>169</v>
      </c>
      <c r="B240" s="132" t="s">
        <v>376</v>
      </c>
      <c r="C240" s="225" t="s">
        <v>595</v>
      </c>
      <c r="D240" s="221"/>
      <c r="E240" s="221"/>
      <c r="F240" s="132" t="s">
        <v>629</v>
      </c>
      <c r="G240" s="77">
        <v>1.5</v>
      </c>
      <c r="H240" s="17">
        <v>0</v>
      </c>
      <c r="I240" s="12">
        <f t="shared" si="110"/>
        <v>0</v>
      </c>
      <c r="J240" s="12">
        <f t="shared" si="111"/>
        <v>0</v>
      </c>
      <c r="K240" s="12">
        <f t="shared" si="112"/>
        <v>0</v>
      </c>
      <c r="L240" s="37">
        <f>IF(K264=0,0,K240/K264)</f>
        <v>0</v>
      </c>
      <c r="M240" s="27"/>
      <c r="Z240" s="32">
        <f t="shared" si="113"/>
        <v>0</v>
      </c>
      <c r="AB240" s="32">
        <f t="shared" si="114"/>
        <v>0</v>
      </c>
      <c r="AC240" s="32">
        <f t="shared" si="115"/>
        <v>0</v>
      </c>
      <c r="AD240" s="32">
        <f t="shared" si="116"/>
        <v>0</v>
      </c>
      <c r="AE240" s="32">
        <f t="shared" si="117"/>
        <v>0</v>
      </c>
      <c r="AF240" s="32">
        <f t="shared" si="118"/>
        <v>0</v>
      </c>
      <c r="AG240" s="32">
        <f t="shared" si="119"/>
        <v>0</v>
      </c>
      <c r="AH240" s="32">
        <f t="shared" si="120"/>
        <v>0</v>
      </c>
      <c r="AI240" s="28"/>
      <c r="AJ240" s="12">
        <f t="shared" si="121"/>
        <v>0</v>
      </c>
      <c r="AK240" s="12">
        <f t="shared" si="122"/>
        <v>0</v>
      </c>
      <c r="AL240" s="12">
        <f t="shared" si="123"/>
        <v>0</v>
      </c>
      <c r="AN240" s="32">
        <v>21</v>
      </c>
      <c r="AO240" s="32">
        <f t="shared" si="134"/>
        <v>0</v>
      </c>
      <c r="AP240" s="32">
        <f t="shared" si="135"/>
        <v>0</v>
      </c>
      <c r="AQ240" s="27" t="s">
        <v>8</v>
      </c>
      <c r="AV240" s="32">
        <f t="shared" si="124"/>
        <v>0</v>
      </c>
      <c r="AW240" s="32">
        <f t="shared" si="125"/>
        <v>0</v>
      </c>
      <c r="AX240" s="32">
        <f t="shared" si="126"/>
        <v>0</v>
      </c>
      <c r="AY240" s="33" t="s">
        <v>705</v>
      </c>
      <c r="AZ240" s="33" t="s">
        <v>720</v>
      </c>
      <c r="BA240" s="28" t="s">
        <v>721</v>
      </c>
      <c r="BC240" s="32">
        <f t="shared" si="127"/>
        <v>0</v>
      </c>
      <c r="BD240" s="32">
        <f t="shared" si="128"/>
        <v>0</v>
      </c>
      <c r="BE240" s="32">
        <v>0</v>
      </c>
      <c r="BF240" s="32">
        <f>244</f>
        <v>244</v>
      </c>
      <c r="BH240" s="12">
        <f t="shared" si="129"/>
        <v>0</v>
      </c>
      <c r="BI240" s="12">
        <f t="shared" si="130"/>
        <v>0</v>
      </c>
      <c r="BJ240" s="12">
        <f t="shared" si="131"/>
        <v>0</v>
      </c>
    </row>
    <row r="241" spans="1:62" x14ac:dyDescent="0.25">
      <c r="A241" s="132" t="s">
        <v>170</v>
      </c>
      <c r="B241" s="132" t="s">
        <v>377</v>
      </c>
      <c r="C241" s="225" t="s">
        <v>596</v>
      </c>
      <c r="D241" s="221"/>
      <c r="E241" s="221"/>
      <c r="F241" s="132" t="s">
        <v>629</v>
      </c>
      <c r="G241" s="77">
        <v>146</v>
      </c>
      <c r="H241" s="17">
        <v>0</v>
      </c>
      <c r="I241" s="12">
        <f t="shared" si="110"/>
        <v>0</v>
      </c>
      <c r="J241" s="12">
        <f t="shared" si="111"/>
        <v>0</v>
      </c>
      <c r="K241" s="12">
        <f t="shared" si="112"/>
        <v>0</v>
      </c>
      <c r="L241" s="37">
        <f>IF(K264=0,0,K241/K264)</f>
        <v>0</v>
      </c>
      <c r="M241" s="27"/>
      <c r="Z241" s="32">
        <f t="shared" si="113"/>
        <v>0</v>
      </c>
      <c r="AB241" s="32">
        <f t="shared" si="114"/>
        <v>0</v>
      </c>
      <c r="AC241" s="32">
        <f t="shared" si="115"/>
        <v>0</v>
      </c>
      <c r="AD241" s="32">
        <f t="shared" si="116"/>
        <v>0</v>
      </c>
      <c r="AE241" s="32">
        <f t="shared" si="117"/>
        <v>0</v>
      </c>
      <c r="AF241" s="32">
        <f t="shared" si="118"/>
        <v>0</v>
      </c>
      <c r="AG241" s="32">
        <f t="shared" si="119"/>
        <v>0</v>
      </c>
      <c r="AH241" s="32">
        <f t="shared" si="120"/>
        <v>0</v>
      </c>
      <c r="AI241" s="28"/>
      <c r="AJ241" s="12">
        <f t="shared" si="121"/>
        <v>0</v>
      </c>
      <c r="AK241" s="12">
        <f t="shared" si="122"/>
        <v>0</v>
      </c>
      <c r="AL241" s="12">
        <f t="shared" si="123"/>
        <v>0</v>
      </c>
      <c r="AN241" s="32">
        <v>21</v>
      </c>
      <c r="AO241" s="32">
        <f t="shared" si="134"/>
        <v>0</v>
      </c>
      <c r="AP241" s="32">
        <f t="shared" si="135"/>
        <v>0</v>
      </c>
      <c r="AQ241" s="27" t="s">
        <v>8</v>
      </c>
      <c r="AV241" s="32">
        <f t="shared" si="124"/>
        <v>0</v>
      </c>
      <c r="AW241" s="32">
        <f t="shared" si="125"/>
        <v>0</v>
      </c>
      <c r="AX241" s="32">
        <f t="shared" si="126"/>
        <v>0</v>
      </c>
      <c r="AY241" s="33" t="s">
        <v>705</v>
      </c>
      <c r="AZ241" s="33" t="s">
        <v>720</v>
      </c>
      <c r="BA241" s="28" t="s">
        <v>721</v>
      </c>
      <c r="BC241" s="32">
        <f t="shared" si="127"/>
        <v>0</v>
      </c>
      <c r="BD241" s="32">
        <f t="shared" si="128"/>
        <v>0</v>
      </c>
      <c r="BE241" s="32">
        <v>0</v>
      </c>
      <c r="BF241" s="32">
        <f>245</f>
        <v>245</v>
      </c>
      <c r="BH241" s="12">
        <f t="shared" si="129"/>
        <v>0</v>
      </c>
      <c r="BI241" s="12">
        <f t="shared" si="130"/>
        <v>0</v>
      </c>
      <c r="BJ241" s="12">
        <f t="shared" si="131"/>
        <v>0</v>
      </c>
    </row>
    <row r="242" spans="1:62" x14ac:dyDescent="0.25">
      <c r="A242" s="132" t="s">
        <v>171</v>
      </c>
      <c r="B242" s="132" t="s">
        <v>378</v>
      </c>
      <c r="C242" s="225" t="s">
        <v>597</v>
      </c>
      <c r="D242" s="221"/>
      <c r="E242" s="221"/>
      <c r="F242" s="132" t="s">
        <v>632</v>
      </c>
      <c r="G242" s="77">
        <v>4</v>
      </c>
      <c r="H242" s="17">
        <v>0</v>
      </c>
      <c r="I242" s="12">
        <f t="shared" si="110"/>
        <v>0</v>
      </c>
      <c r="J242" s="12">
        <f t="shared" si="111"/>
        <v>0</v>
      </c>
      <c r="K242" s="12">
        <f t="shared" si="112"/>
        <v>0</v>
      </c>
      <c r="L242" s="37">
        <f>IF(K264=0,0,K242/K264)</f>
        <v>0</v>
      </c>
      <c r="M242" s="27"/>
      <c r="Z242" s="32">
        <f t="shared" si="113"/>
        <v>0</v>
      </c>
      <c r="AB242" s="32">
        <f t="shared" si="114"/>
        <v>0</v>
      </c>
      <c r="AC242" s="32">
        <f t="shared" si="115"/>
        <v>0</v>
      </c>
      <c r="AD242" s="32">
        <f t="shared" si="116"/>
        <v>0</v>
      </c>
      <c r="AE242" s="32">
        <f t="shared" si="117"/>
        <v>0</v>
      </c>
      <c r="AF242" s="32">
        <f t="shared" si="118"/>
        <v>0</v>
      </c>
      <c r="AG242" s="32">
        <f t="shared" si="119"/>
        <v>0</v>
      </c>
      <c r="AH242" s="32">
        <f t="shared" si="120"/>
        <v>0</v>
      </c>
      <c r="AI242" s="28"/>
      <c r="AJ242" s="12">
        <f t="shared" si="121"/>
        <v>0</v>
      </c>
      <c r="AK242" s="12">
        <f t="shared" si="122"/>
        <v>0</v>
      </c>
      <c r="AL242" s="12">
        <f t="shared" si="123"/>
        <v>0</v>
      </c>
      <c r="AN242" s="32">
        <v>21</v>
      </c>
      <c r="AO242" s="32">
        <f t="shared" si="134"/>
        <v>0</v>
      </c>
      <c r="AP242" s="32">
        <f t="shared" si="135"/>
        <v>0</v>
      </c>
      <c r="AQ242" s="27" t="s">
        <v>8</v>
      </c>
      <c r="AV242" s="32">
        <f t="shared" si="124"/>
        <v>0</v>
      </c>
      <c r="AW242" s="32">
        <f t="shared" si="125"/>
        <v>0</v>
      </c>
      <c r="AX242" s="32">
        <f t="shared" si="126"/>
        <v>0</v>
      </c>
      <c r="AY242" s="33" t="s">
        <v>705</v>
      </c>
      <c r="AZ242" s="33" t="s">
        <v>720</v>
      </c>
      <c r="BA242" s="28" t="s">
        <v>721</v>
      </c>
      <c r="BC242" s="32">
        <f t="shared" si="127"/>
        <v>0</v>
      </c>
      <c r="BD242" s="32">
        <f t="shared" si="128"/>
        <v>0</v>
      </c>
      <c r="BE242" s="32">
        <v>0</v>
      </c>
      <c r="BF242" s="32">
        <f>246</f>
        <v>246</v>
      </c>
      <c r="BH242" s="12">
        <f t="shared" si="129"/>
        <v>0</v>
      </c>
      <c r="BI242" s="12">
        <f t="shared" si="130"/>
        <v>0</v>
      </c>
      <c r="BJ242" s="12">
        <f t="shared" si="131"/>
        <v>0</v>
      </c>
    </row>
    <row r="243" spans="1:62" x14ac:dyDescent="0.25">
      <c r="A243" s="132" t="s">
        <v>172</v>
      </c>
      <c r="B243" s="132" t="s">
        <v>379</v>
      </c>
      <c r="C243" s="225" t="s">
        <v>598</v>
      </c>
      <c r="D243" s="221"/>
      <c r="E243" s="221"/>
      <c r="F243" s="132" t="s">
        <v>632</v>
      </c>
      <c r="G243" s="77">
        <v>4</v>
      </c>
      <c r="H243" s="17">
        <v>0</v>
      </c>
      <c r="I243" s="12">
        <f t="shared" si="110"/>
        <v>0</v>
      </c>
      <c r="J243" s="12">
        <f t="shared" si="111"/>
        <v>0</v>
      </c>
      <c r="K243" s="12">
        <f t="shared" si="112"/>
        <v>0</v>
      </c>
      <c r="L243" s="37">
        <f>IF(K264=0,0,K243/K264)</f>
        <v>0</v>
      </c>
      <c r="M243" s="27"/>
      <c r="Z243" s="32">
        <f t="shared" si="113"/>
        <v>0</v>
      </c>
      <c r="AB243" s="32">
        <f t="shared" si="114"/>
        <v>0</v>
      </c>
      <c r="AC243" s="32">
        <f t="shared" si="115"/>
        <v>0</v>
      </c>
      <c r="AD243" s="32">
        <f t="shared" si="116"/>
        <v>0</v>
      </c>
      <c r="AE243" s="32">
        <f t="shared" si="117"/>
        <v>0</v>
      </c>
      <c r="AF243" s="32">
        <f t="shared" si="118"/>
        <v>0</v>
      </c>
      <c r="AG243" s="32">
        <f t="shared" si="119"/>
        <v>0</v>
      </c>
      <c r="AH243" s="32">
        <f t="shared" si="120"/>
        <v>0</v>
      </c>
      <c r="AI243" s="28"/>
      <c r="AJ243" s="12">
        <f t="shared" si="121"/>
        <v>0</v>
      </c>
      <c r="AK243" s="12">
        <f t="shared" si="122"/>
        <v>0</v>
      </c>
      <c r="AL243" s="12">
        <f t="shared" si="123"/>
        <v>0</v>
      </c>
      <c r="AN243" s="32">
        <v>21</v>
      </c>
      <c r="AO243" s="32">
        <f t="shared" si="134"/>
        <v>0</v>
      </c>
      <c r="AP243" s="32">
        <f t="shared" si="135"/>
        <v>0</v>
      </c>
      <c r="AQ243" s="27" t="s">
        <v>8</v>
      </c>
      <c r="AV243" s="32">
        <f t="shared" si="124"/>
        <v>0</v>
      </c>
      <c r="AW243" s="32">
        <f t="shared" si="125"/>
        <v>0</v>
      </c>
      <c r="AX243" s="32">
        <f t="shared" si="126"/>
        <v>0</v>
      </c>
      <c r="AY243" s="33" t="s">
        <v>705</v>
      </c>
      <c r="AZ243" s="33" t="s">
        <v>720</v>
      </c>
      <c r="BA243" s="28" t="s">
        <v>721</v>
      </c>
      <c r="BC243" s="32">
        <f t="shared" si="127"/>
        <v>0</v>
      </c>
      <c r="BD243" s="32">
        <f t="shared" si="128"/>
        <v>0</v>
      </c>
      <c r="BE243" s="32">
        <v>0</v>
      </c>
      <c r="BF243" s="32">
        <f>247</f>
        <v>247</v>
      </c>
      <c r="BH243" s="12">
        <f t="shared" si="129"/>
        <v>0</v>
      </c>
      <c r="BI243" s="12">
        <f t="shared" si="130"/>
        <v>0</v>
      </c>
      <c r="BJ243" s="12">
        <f t="shared" si="131"/>
        <v>0</v>
      </c>
    </row>
    <row r="244" spans="1:62" x14ac:dyDescent="0.25">
      <c r="A244" s="132" t="s">
        <v>173</v>
      </c>
      <c r="B244" s="132" t="s">
        <v>380</v>
      </c>
      <c r="C244" s="225" t="s">
        <v>599</v>
      </c>
      <c r="D244" s="221"/>
      <c r="E244" s="221"/>
      <c r="F244" s="132" t="s">
        <v>632</v>
      </c>
      <c r="G244" s="77">
        <v>4</v>
      </c>
      <c r="H244" s="17">
        <v>0</v>
      </c>
      <c r="I244" s="12">
        <f t="shared" si="110"/>
        <v>0</v>
      </c>
      <c r="J244" s="12">
        <f t="shared" si="111"/>
        <v>0</v>
      </c>
      <c r="K244" s="12">
        <f t="shared" si="112"/>
        <v>0</v>
      </c>
      <c r="L244" s="37">
        <f>IF(K264=0,0,K244/K264)</f>
        <v>0</v>
      </c>
      <c r="M244" s="27"/>
      <c r="Z244" s="32">
        <f t="shared" si="113"/>
        <v>0</v>
      </c>
      <c r="AB244" s="32">
        <f t="shared" si="114"/>
        <v>0</v>
      </c>
      <c r="AC244" s="32">
        <f t="shared" si="115"/>
        <v>0</v>
      </c>
      <c r="AD244" s="32">
        <f t="shared" si="116"/>
        <v>0</v>
      </c>
      <c r="AE244" s="32">
        <f t="shared" si="117"/>
        <v>0</v>
      </c>
      <c r="AF244" s="32">
        <f t="shared" si="118"/>
        <v>0</v>
      </c>
      <c r="AG244" s="32">
        <f t="shared" si="119"/>
        <v>0</v>
      </c>
      <c r="AH244" s="32">
        <f t="shared" si="120"/>
        <v>0</v>
      </c>
      <c r="AI244" s="28"/>
      <c r="AJ244" s="12">
        <f t="shared" si="121"/>
        <v>0</v>
      </c>
      <c r="AK244" s="12">
        <f t="shared" si="122"/>
        <v>0</v>
      </c>
      <c r="AL244" s="12">
        <f t="shared" si="123"/>
        <v>0</v>
      </c>
      <c r="AN244" s="32">
        <v>21</v>
      </c>
      <c r="AO244" s="32">
        <f t="shared" si="134"/>
        <v>0</v>
      </c>
      <c r="AP244" s="32">
        <f t="shared" si="135"/>
        <v>0</v>
      </c>
      <c r="AQ244" s="27" t="s">
        <v>8</v>
      </c>
      <c r="AV244" s="32">
        <f t="shared" si="124"/>
        <v>0</v>
      </c>
      <c r="AW244" s="32">
        <f t="shared" si="125"/>
        <v>0</v>
      </c>
      <c r="AX244" s="32">
        <f t="shared" si="126"/>
        <v>0</v>
      </c>
      <c r="AY244" s="33" t="s">
        <v>705</v>
      </c>
      <c r="AZ244" s="33" t="s">
        <v>720</v>
      </c>
      <c r="BA244" s="28" t="s">
        <v>721</v>
      </c>
      <c r="BC244" s="32">
        <f t="shared" si="127"/>
        <v>0</v>
      </c>
      <c r="BD244" s="32">
        <f t="shared" si="128"/>
        <v>0</v>
      </c>
      <c r="BE244" s="32">
        <v>0</v>
      </c>
      <c r="BF244" s="32">
        <f>248</f>
        <v>248</v>
      </c>
      <c r="BH244" s="12">
        <f t="shared" si="129"/>
        <v>0</v>
      </c>
      <c r="BI244" s="12">
        <f t="shared" si="130"/>
        <v>0</v>
      </c>
      <c r="BJ244" s="12">
        <f t="shared" si="131"/>
        <v>0</v>
      </c>
    </row>
    <row r="245" spans="1:62" x14ac:dyDescent="0.25">
      <c r="A245" s="132" t="s">
        <v>174</v>
      </c>
      <c r="B245" s="132" t="s">
        <v>381</v>
      </c>
      <c r="C245" s="225" t="s">
        <v>600</v>
      </c>
      <c r="D245" s="221"/>
      <c r="E245" s="221"/>
      <c r="F245" s="132" t="s">
        <v>632</v>
      </c>
      <c r="G245" s="77">
        <v>4</v>
      </c>
      <c r="H245" s="17">
        <v>0</v>
      </c>
      <c r="I245" s="12">
        <f t="shared" si="110"/>
        <v>0</v>
      </c>
      <c r="J245" s="12">
        <f t="shared" si="111"/>
        <v>0</v>
      </c>
      <c r="K245" s="12">
        <f t="shared" si="112"/>
        <v>0</v>
      </c>
      <c r="L245" s="37">
        <f>IF(K264=0,0,K245/K264)</f>
        <v>0</v>
      </c>
      <c r="M245" s="27"/>
      <c r="Z245" s="32">
        <f t="shared" si="113"/>
        <v>0</v>
      </c>
      <c r="AB245" s="32">
        <f t="shared" si="114"/>
        <v>0</v>
      </c>
      <c r="AC245" s="32">
        <f t="shared" si="115"/>
        <v>0</v>
      </c>
      <c r="AD245" s="32">
        <f t="shared" si="116"/>
        <v>0</v>
      </c>
      <c r="AE245" s="32">
        <f t="shared" si="117"/>
        <v>0</v>
      </c>
      <c r="AF245" s="32">
        <f t="shared" si="118"/>
        <v>0</v>
      </c>
      <c r="AG245" s="32">
        <f t="shared" si="119"/>
        <v>0</v>
      </c>
      <c r="AH245" s="32">
        <f t="shared" si="120"/>
        <v>0</v>
      </c>
      <c r="AI245" s="28"/>
      <c r="AJ245" s="12">
        <f t="shared" si="121"/>
        <v>0</v>
      </c>
      <c r="AK245" s="12">
        <f t="shared" si="122"/>
        <v>0</v>
      </c>
      <c r="AL245" s="12">
        <f t="shared" si="123"/>
        <v>0</v>
      </c>
      <c r="AN245" s="32">
        <v>21</v>
      </c>
      <c r="AO245" s="32">
        <f t="shared" si="134"/>
        <v>0</v>
      </c>
      <c r="AP245" s="32">
        <f t="shared" si="135"/>
        <v>0</v>
      </c>
      <c r="AQ245" s="27" t="s">
        <v>8</v>
      </c>
      <c r="AV245" s="32">
        <f t="shared" si="124"/>
        <v>0</v>
      </c>
      <c r="AW245" s="32">
        <f t="shared" si="125"/>
        <v>0</v>
      </c>
      <c r="AX245" s="32">
        <f t="shared" si="126"/>
        <v>0</v>
      </c>
      <c r="AY245" s="33" t="s">
        <v>705</v>
      </c>
      <c r="AZ245" s="33" t="s">
        <v>720</v>
      </c>
      <c r="BA245" s="28" t="s">
        <v>721</v>
      </c>
      <c r="BC245" s="32">
        <f t="shared" si="127"/>
        <v>0</v>
      </c>
      <c r="BD245" s="32">
        <f t="shared" si="128"/>
        <v>0</v>
      </c>
      <c r="BE245" s="32">
        <v>0</v>
      </c>
      <c r="BF245" s="32">
        <f>249</f>
        <v>249</v>
      </c>
      <c r="BH245" s="12">
        <f t="shared" si="129"/>
        <v>0</v>
      </c>
      <c r="BI245" s="12">
        <f t="shared" si="130"/>
        <v>0</v>
      </c>
      <c r="BJ245" s="12">
        <f t="shared" si="131"/>
        <v>0</v>
      </c>
    </row>
    <row r="246" spans="1:62" x14ac:dyDescent="0.25">
      <c r="A246" s="132" t="s">
        <v>175</v>
      </c>
      <c r="B246" s="132" t="s">
        <v>382</v>
      </c>
      <c r="C246" s="225" t="s">
        <v>601</v>
      </c>
      <c r="D246" s="221"/>
      <c r="E246" s="221"/>
      <c r="F246" s="132" t="s">
        <v>632</v>
      </c>
      <c r="G246" s="77">
        <v>1</v>
      </c>
      <c r="H246" s="17">
        <v>0</v>
      </c>
      <c r="I246" s="12">
        <f t="shared" si="110"/>
        <v>0</v>
      </c>
      <c r="J246" s="12">
        <f t="shared" si="111"/>
        <v>0</v>
      </c>
      <c r="K246" s="12">
        <f t="shared" si="112"/>
        <v>0</v>
      </c>
      <c r="L246" s="37">
        <f>IF(K264=0,0,K246/K264)</f>
        <v>0</v>
      </c>
      <c r="M246" s="27"/>
      <c r="Z246" s="32">
        <f t="shared" si="113"/>
        <v>0</v>
      </c>
      <c r="AB246" s="32">
        <f t="shared" si="114"/>
        <v>0</v>
      </c>
      <c r="AC246" s="32">
        <f t="shared" si="115"/>
        <v>0</v>
      </c>
      <c r="AD246" s="32">
        <f t="shared" si="116"/>
        <v>0</v>
      </c>
      <c r="AE246" s="32">
        <f t="shared" si="117"/>
        <v>0</v>
      </c>
      <c r="AF246" s="32">
        <f t="shared" si="118"/>
        <v>0</v>
      </c>
      <c r="AG246" s="32">
        <f t="shared" si="119"/>
        <v>0</v>
      </c>
      <c r="AH246" s="32">
        <f t="shared" si="120"/>
        <v>0</v>
      </c>
      <c r="AI246" s="28"/>
      <c r="AJ246" s="12">
        <f t="shared" si="121"/>
        <v>0</v>
      </c>
      <c r="AK246" s="12">
        <f t="shared" si="122"/>
        <v>0</v>
      </c>
      <c r="AL246" s="12">
        <f t="shared" si="123"/>
        <v>0</v>
      </c>
      <c r="AN246" s="32">
        <v>21</v>
      </c>
      <c r="AO246" s="32">
        <f t="shared" si="134"/>
        <v>0</v>
      </c>
      <c r="AP246" s="32">
        <f t="shared" si="135"/>
        <v>0</v>
      </c>
      <c r="AQ246" s="27" t="s">
        <v>8</v>
      </c>
      <c r="AV246" s="32">
        <f t="shared" si="124"/>
        <v>0</v>
      </c>
      <c r="AW246" s="32">
        <f t="shared" si="125"/>
        <v>0</v>
      </c>
      <c r="AX246" s="32">
        <f t="shared" si="126"/>
        <v>0</v>
      </c>
      <c r="AY246" s="33" t="s">
        <v>705</v>
      </c>
      <c r="AZ246" s="33" t="s">
        <v>720</v>
      </c>
      <c r="BA246" s="28" t="s">
        <v>721</v>
      </c>
      <c r="BC246" s="32">
        <f t="shared" si="127"/>
        <v>0</v>
      </c>
      <c r="BD246" s="32">
        <f t="shared" si="128"/>
        <v>0</v>
      </c>
      <c r="BE246" s="32">
        <v>0</v>
      </c>
      <c r="BF246" s="32">
        <f>250</f>
        <v>250</v>
      </c>
      <c r="BH246" s="12">
        <f t="shared" si="129"/>
        <v>0</v>
      </c>
      <c r="BI246" s="12">
        <f t="shared" si="130"/>
        <v>0</v>
      </c>
      <c r="BJ246" s="12">
        <f t="shared" si="131"/>
        <v>0</v>
      </c>
    </row>
    <row r="247" spans="1:62" x14ac:dyDescent="0.25">
      <c r="A247" s="132" t="s">
        <v>176</v>
      </c>
      <c r="B247" s="132" t="s">
        <v>383</v>
      </c>
      <c r="C247" s="225" t="s">
        <v>602</v>
      </c>
      <c r="D247" s="221"/>
      <c r="E247" s="221"/>
      <c r="F247" s="132" t="s">
        <v>636</v>
      </c>
      <c r="G247" s="77">
        <v>1</v>
      </c>
      <c r="H247" s="17">
        <v>0</v>
      </c>
      <c r="I247" s="12">
        <f t="shared" si="110"/>
        <v>0</v>
      </c>
      <c r="J247" s="12">
        <f t="shared" si="111"/>
        <v>0</v>
      </c>
      <c r="K247" s="12">
        <f t="shared" si="112"/>
        <v>0</v>
      </c>
      <c r="L247" s="37">
        <f>IF(K264=0,0,K247/K264)</f>
        <v>0</v>
      </c>
      <c r="M247" s="27"/>
      <c r="Z247" s="32">
        <f t="shared" si="113"/>
        <v>0</v>
      </c>
      <c r="AB247" s="32">
        <f t="shared" si="114"/>
        <v>0</v>
      </c>
      <c r="AC247" s="32">
        <f t="shared" si="115"/>
        <v>0</v>
      </c>
      <c r="AD247" s="32">
        <f t="shared" si="116"/>
        <v>0</v>
      </c>
      <c r="AE247" s="32">
        <f t="shared" si="117"/>
        <v>0</v>
      </c>
      <c r="AF247" s="32">
        <f t="shared" si="118"/>
        <v>0</v>
      </c>
      <c r="AG247" s="32">
        <f t="shared" si="119"/>
        <v>0</v>
      </c>
      <c r="AH247" s="32">
        <f t="shared" si="120"/>
        <v>0</v>
      </c>
      <c r="AI247" s="28"/>
      <c r="AJ247" s="12">
        <f t="shared" si="121"/>
        <v>0</v>
      </c>
      <c r="AK247" s="12">
        <f t="shared" si="122"/>
        <v>0</v>
      </c>
      <c r="AL247" s="12">
        <f t="shared" si="123"/>
        <v>0</v>
      </c>
      <c r="AN247" s="32">
        <v>21</v>
      </c>
      <c r="AO247" s="32">
        <f t="shared" si="134"/>
        <v>0</v>
      </c>
      <c r="AP247" s="32">
        <f t="shared" si="135"/>
        <v>0</v>
      </c>
      <c r="AQ247" s="27" t="s">
        <v>8</v>
      </c>
      <c r="AV247" s="32">
        <f t="shared" si="124"/>
        <v>0</v>
      </c>
      <c r="AW247" s="32">
        <f t="shared" si="125"/>
        <v>0</v>
      </c>
      <c r="AX247" s="32">
        <f t="shared" si="126"/>
        <v>0</v>
      </c>
      <c r="AY247" s="33" t="s">
        <v>705</v>
      </c>
      <c r="AZ247" s="33" t="s">
        <v>720</v>
      </c>
      <c r="BA247" s="28" t="s">
        <v>721</v>
      </c>
      <c r="BC247" s="32">
        <f t="shared" si="127"/>
        <v>0</v>
      </c>
      <c r="BD247" s="32">
        <f t="shared" si="128"/>
        <v>0</v>
      </c>
      <c r="BE247" s="32">
        <v>0</v>
      </c>
      <c r="BF247" s="32">
        <f>251</f>
        <v>251</v>
      </c>
      <c r="BH247" s="12">
        <f t="shared" si="129"/>
        <v>0</v>
      </c>
      <c r="BI247" s="12">
        <f t="shared" si="130"/>
        <v>0</v>
      </c>
      <c r="BJ247" s="12">
        <f t="shared" si="131"/>
        <v>0</v>
      </c>
    </row>
    <row r="248" spans="1:62" x14ac:dyDescent="0.25">
      <c r="A248" s="132" t="s">
        <v>177</v>
      </c>
      <c r="B248" s="132" t="s">
        <v>384</v>
      </c>
      <c r="C248" s="225" t="s">
        <v>603</v>
      </c>
      <c r="D248" s="221"/>
      <c r="E248" s="221"/>
      <c r="F248" s="132" t="s">
        <v>637</v>
      </c>
      <c r="G248" s="77">
        <v>76</v>
      </c>
      <c r="H248" s="17">
        <v>0</v>
      </c>
      <c r="I248" s="12">
        <f t="shared" si="110"/>
        <v>0</v>
      </c>
      <c r="J248" s="12">
        <f t="shared" si="111"/>
        <v>0</v>
      </c>
      <c r="K248" s="12">
        <f t="shared" si="112"/>
        <v>0</v>
      </c>
      <c r="L248" s="37">
        <f>IF(K264=0,0,K248/K264)</f>
        <v>0</v>
      </c>
      <c r="M248" s="27"/>
      <c r="Z248" s="32">
        <f t="shared" si="113"/>
        <v>0</v>
      </c>
      <c r="AB248" s="32">
        <f t="shared" si="114"/>
        <v>0</v>
      </c>
      <c r="AC248" s="32">
        <f t="shared" si="115"/>
        <v>0</v>
      </c>
      <c r="AD248" s="32">
        <f t="shared" si="116"/>
        <v>0</v>
      </c>
      <c r="AE248" s="32">
        <f t="shared" si="117"/>
        <v>0</v>
      </c>
      <c r="AF248" s="32">
        <f t="shared" si="118"/>
        <v>0</v>
      </c>
      <c r="AG248" s="32">
        <f t="shared" si="119"/>
        <v>0</v>
      </c>
      <c r="AH248" s="32">
        <f t="shared" si="120"/>
        <v>0</v>
      </c>
      <c r="AI248" s="28"/>
      <c r="AJ248" s="12">
        <f t="shared" si="121"/>
        <v>0</v>
      </c>
      <c r="AK248" s="12">
        <f t="shared" si="122"/>
        <v>0</v>
      </c>
      <c r="AL248" s="12">
        <f t="shared" si="123"/>
        <v>0</v>
      </c>
      <c r="AN248" s="32">
        <v>21</v>
      </c>
      <c r="AO248" s="32">
        <f t="shared" si="134"/>
        <v>0</v>
      </c>
      <c r="AP248" s="32">
        <f t="shared" si="135"/>
        <v>0</v>
      </c>
      <c r="AQ248" s="27" t="s">
        <v>8</v>
      </c>
      <c r="AV248" s="32">
        <f t="shared" si="124"/>
        <v>0</v>
      </c>
      <c r="AW248" s="32">
        <f t="shared" si="125"/>
        <v>0</v>
      </c>
      <c r="AX248" s="32">
        <f t="shared" si="126"/>
        <v>0</v>
      </c>
      <c r="AY248" s="33" t="s">
        <v>705</v>
      </c>
      <c r="AZ248" s="33" t="s">
        <v>720</v>
      </c>
      <c r="BA248" s="28" t="s">
        <v>721</v>
      </c>
      <c r="BC248" s="32">
        <f t="shared" si="127"/>
        <v>0</v>
      </c>
      <c r="BD248" s="32">
        <f t="shared" si="128"/>
        <v>0</v>
      </c>
      <c r="BE248" s="32">
        <v>0</v>
      </c>
      <c r="BF248" s="32">
        <f>252</f>
        <v>252</v>
      </c>
      <c r="BH248" s="12">
        <f t="shared" si="129"/>
        <v>0</v>
      </c>
      <c r="BI248" s="12">
        <f t="shared" si="130"/>
        <v>0</v>
      </c>
      <c r="BJ248" s="12">
        <f t="shared" si="131"/>
        <v>0</v>
      </c>
    </row>
    <row r="249" spans="1:62" x14ac:dyDescent="0.25">
      <c r="A249" s="5"/>
      <c r="B249" s="133" t="s">
        <v>385</v>
      </c>
      <c r="C249" s="226" t="s">
        <v>604</v>
      </c>
      <c r="D249" s="227"/>
      <c r="E249" s="227"/>
      <c r="F249" s="5" t="s">
        <v>6</v>
      </c>
      <c r="G249" s="5" t="s">
        <v>6</v>
      </c>
      <c r="H249" s="18" t="s">
        <v>6</v>
      </c>
      <c r="I249" s="35">
        <f>SUM(I250:I250)</f>
        <v>0</v>
      </c>
      <c r="J249" s="35">
        <f>SUM(J250:J250)</f>
        <v>0</v>
      </c>
      <c r="K249" s="35">
        <f>SUM(K250:K250)</f>
        <v>0</v>
      </c>
      <c r="L249" s="38">
        <f>IF(K264=0,0,K249/K264)</f>
        <v>0</v>
      </c>
      <c r="M249" s="28"/>
      <c r="AI249" s="28"/>
      <c r="AS249" s="35">
        <f>SUM(AJ250:AJ250)</f>
        <v>0</v>
      </c>
      <c r="AT249" s="35">
        <f>SUM(AK250:AK250)</f>
        <v>0</v>
      </c>
      <c r="AU249" s="35">
        <f>SUM(AL250:AL250)</f>
        <v>0</v>
      </c>
    </row>
    <row r="250" spans="1:62" x14ac:dyDescent="0.25">
      <c r="A250" s="137" t="s">
        <v>178</v>
      </c>
      <c r="B250" s="137" t="s">
        <v>386</v>
      </c>
      <c r="C250" s="223" t="s">
        <v>605</v>
      </c>
      <c r="D250" s="221"/>
      <c r="E250" s="224"/>
      <c r="F250" s="137" t="s">
        <v>638</v>
      </c>
      <c r="G250" s="92">
        <v>1</v>
      </c>
      <c r="H250" s="17">
        <f>'Rekapitulace EI'!C24</f>
        <v>0</v>
      </c>
      <c r="I250" s="93">
        <f>G250*AO250</f>
        <v>0</v>
      </c>
      <c r="J250" s="93">
        <f>G250*AP250</f>
        <v>0</v>
      </c>
      <c r="K250" s="93">
        <f>G250*H250</f>
        <v>0</v>
      </c>
      <c r="L250" s="94">
        <f>IF(K264=0,0,K250/K264)</f>
        <v>0</v>
      </c>
      <c r="M250" s="95"/>
      <c r="Z250" s="32">
        <f>IF(AQ250="5",BJ250,0)</f>
        <v>0</v>
      </c>
      <c r="AB250" s="32">
        <f>IF(AQ250="1",BH250,0)</f>
        <v>0</v>
      </c>
      <c r="AC250" s="32">
        <f>IF(AQ250="1",BI250,0)</f>
        <v>0</v>
      </c>
      <c r="AD250" s="32">
        <f>IF(AQ250="7",BH250,0)</f>
        <v>0</v>
      </c>
      <c r="AE250" s="32">
        <f>IF(AQ250="7",BI250,0)</f>
        <v>0</v>
      </c>
      <c r="AF250" s="32">
        <f>IF(AQ250="2",BH250,0)</f>
        <v>0</v>
      </c>
      <c r="AG250" s="32">
        <f>IF(AQ250="2",BI250,0)</f>
        <v>0</v>
      </c>
      <c r="AH250" s="32">
        <f>IF(AQ250="0",BJ250,0)</f>
        <v>0</v>
      </c>
      <c r="AI250" s="28"/>
      <c r="AJ250" s="12">
        <f>IF(AN250=0,K250,0)</f>
        <v>0</v>
      </c>
      <c r="AK250" s="12">
        <f>IF(AN250=15,K250,0)</f>
        <v>0</v>
      </c>
      <c r="AL250" s="12">
        <f>IF(AN250=21,K250,0)</f>
        <v>0</v>
      </c>
      <c r="AN250" s="32">
        <v>21</v>
      </c>
      <c r="AO250" s="32">
        <f>H250*0.645405725494623</f>
        <v>0</v>
      </c>
      <c r="AP250" s="32">
        <f>H250*(1-0.645405725494623)</f>
        <v>0</v>
      </c>
      <c r="AQ250" s="27" t="s">
        <v>8</v>
      </c>
      <c r="AV250" s="32">
        <f>AW250+AX250</f>
        <v>0</v>
      </c>
      <c r="AW250" s="32">
        <f>G250*AO250</f>
        <v>0</v>
      </c>
      <c r="AX250" s="32">
        <f>G250*AP250</f>
        <v>0</v>
      </c>
      <c r="AY250" s="33" t="s">
        <v>706</v>
      </c>
      <c r="AZ250" s="33" t="s">
        <v>720</v>
      </c>
      <c r="BA250" s="28" t="s">
        <v>721</v>
      </c>
      <c r="BC250" s="32">
        <f>AW250+AX250</f>
        <v>0</v>
      </c>
      <c r="BD250" s="32">
        <f>H250/(100-BE250)*100</f>
        <v>0</v>
      </c>
      <c r="BE250" s="32">
        <v>0</v>
      </c>
      <c r="BF250" s="32">
        <f>254</f>
        <v>254</v>
      </c>
      <c r="BH250" s="12">
        <f>G250*AO250</f>
        <v>0</v>
      </c>
      <c r="BI250" s="12">
        <f>G250*AP250</f>
        <v>0</v>
      </c>
      <c r="BJ250" s="12">
        <f>G250*H250</f>
        <v>0</v>
      </c>
    </row>
    <row r="251" spans="1:62" x14ac:dyDescent="0.25">
      <c r="A251" s="5"/>
      <c r="B251" s="133" t="s">
        <v>387</v>
      </c>
      <c r="C251" s="226" t="s">
        <v>606</v>
      </c>
      <c r="D251" s="227"/>
      <c r="E251" s="227"/>
      <c r="F251" s="5" t="s">
        <v>6</v>
      </c>
      <c r="G251" s="5" t="s">
        <v>6</v>
      </c>
      <c r="H251" s="18" t="s">
        <v>6</v>
      </c>
      <c r="I251" s="35">
        <f>SUM(I252:I263)</f>
        <v>0</v>
      </c>
      <c r="J251" s="35">
        <f>SUM(J252:J263)</f>
        <v>0</v>
      </c>
      <c r="K251" s="35">
        <f>SUM(K252:K263)</f>
        <v>0</v>
      </c>
      <c r="L251" s="38">
        <f>IF(K264=0,0,K251/K264)</f>
        <v>0</v>
      </c>
      <c r="M251" s="28"/>
      <c r="AI251" s="28"/>
      <c r="AS251" s="35">
        <f>SUM(AJ252:AJ263)</f>
        <v>0</v>
      </c>
      <c r="AT251" s="35">
        <f>SUM(AK252:AK263)</f>
        <v>0</v>
      </c>
      <c r="AU251" s="35">
        <f>SUM(AL252:AL263)</f>
        <v>0</v>
      </c>
    </row>
    <row r="252" spans="1:62" x14ac:dyDescent="0.25">
      <c r="A252" s="136" t="s">
        <v>179</v>
      </c>
      <c r="B252" s="136" t="s">
        <v>388</v>
      </c>
      <c r="C252" s="220" t="s">
        <v>607</v>
      </c>
      <c r="D252" s="221"/>
      <c r="E252" s="222"/>
      <c r="F252" s="136" t="s">
        <v>627</v>
      </c>
      <c r="G252" s="88">
        <v>12.834</v>
      </c>
      <c r="H252" s="17">
        <v>0</v>
      </c>
      <c r="I252" s="89">
        <f t="shared" ref="I252:I263" si="136">G252*AO252</f>
        <v>0</v>
      </c>
      <c r="J252" s="89">
        <f t="shared" ref="J252:J263" si="137">G252*AP252</f>
        <v>0</v>
      </c>
      <c r="K252" s="89">
        <f t="shared" ref="K252:K263" si="138">G252*H252</f>
        <v>0</v>
      </c>
      <c r="L252" s="90">
        <f>IF(K264=0,0,K252/K264)</f>
        <v>0</v>
      </c>
      <c r="M252" s="91" t="s">
        <v>657</v>
      </c>
      <c r="Z252" s="32">
        <f t="shared" ref="Z252:Z263" si="139">IF(AQ252="5",BJ252,0)</f>
        <v>0</v>
      </c>
      <c r="AB252" s="32">
        <f t="shared" ref="AB252:AB263" si="140">IF(AQ252="1",BH252,0)</f>
        <v>0</v>
      </c>
      <c r="AC252" s="32">
        <f t="shared" ref="AC252:AC263" si="141">IF(AQ252="1",BI252,0)</f>
        <v>0</v>
      </c>
      <c r="AD252" s="32">
        <f t="shared" ref="AD252:AD263" si="142">IF(AQ252="7",BH252,0)</f>
        <v>0</v>
      </c>
      <c r="AE252" s="32">
        <f t="shared" ref="AE252:AE263" si="143">IF(AQ252="7",BI252,0)</f>
        <v>0</v>
      </c>
      <c r="AF252" s="32">
        <f t="shared" ref="AF252:AF263" si="144">IF(AQ252="2",BH252,0)</f>
        <v>0</v>
      </c>
      <c r="AG252" s="32">
        <f t="shared" ref="AG252:AG263" si="145">IF(AQ252="2",BI252,0)</f>
        <v>0</v>
      </c>
      <c r="AH252" s="32">
        <f t="shared" ref="AH252:AH263" si="146">IF(AQ252="0",BJ252,0)</f>
        <v>0</v>
      </c>
      <c r="AI252" s="28"/>
      <c r="AJ252" s="12">
        <f t="shared" ref="AJ252:AJ263" si="147">IF(AN252=0,K252,0)</f>
        <v>0</v>
      </c>
      <c r="AK252" s="12">
        <f t="shared" ref="AK252:AK263" si="148">IF(AN252=15,K252,0)</f>
        <v>0</v>
      </c>
      <c r="AL252" s="12">
        <f t="shared" ref="AL252:AL263" si="149">IF(AN252=21,K252,0)</f>
        <v>0</v>
      </c>
      <c r="AN252" s="32">
        <v>21</v>
      </c>
      <c r="AO252" s="32">
        <f t="shared" ref="AO252:AO261" si="150">H252*0</f>
        <v>0</v>
      </c>
      <c r="AP252" s="32">
        <f t="shared" ref="AP252:AP261" si="151">H252*(1-0)</f>
        <v>0</v>
      </c>
      <c r="AQ252" s="27" t="s">
        <v>11</v>
      </c>
      <c r="AV252" s="32">
        <f t="shared" ref="AV252:AV263" si="152">AW252+AX252</f>
        <v>0</v>
      </c>
      <c r="AW252" s="32">
        <f t="shared" ref="AW252:AW263" si="153">G252*AO252</f>
        <v>0</v>
      </c>
      <c r="AX252" s="32">
        <f t="shared" ref="AX252:AX263" si="154">G252*AP252</f>
        <v>0</v>
      </c>
      <c r="AY252" s="33" t="s">
        <v>707</v>
      </c>
      <c r="AZ252" s="33" t="s">
        <v>720</v>
      </c>
      <c r="BA252" s="28" t="s">
        <v>721</v>
      </c>
      <c r="BC252" s="32">
        <f t="shared" ref="BC252:BC263" si="155">AW252+AX252</f>
        <v>0</v>
      </c>
      <c r="BD252" s="32">
        <f t="shared" ref="BD252:BD263" si="156">H252/(100-BE252)*100</f>
        <v>0</v>
      </c>
      <c r="BE252" s="32">
        <v>0</v>
      </c>
      <c r="BF252" s="32">
        <f>256</f>
        <v>256</v>
      </c>
      <c r="BH252" s="12">
        <f t="shared" ref="BH252:BH263" si="157">G252*AO252</f>
        <v>0</v>
      </c>
      <c r="BI252" s="12">
        <f t="shared" ref="BI252:BI263" si="158">G252*AP252</f>
        <v>0</v>
      </c>
      <c r="BJ252" s="12">
        <f t="shared" ref="BJ252:BJ263" si="159">G252*H252</f>
        <v>0</v>
      </c>
    </row>
    <row r="253" spans="1:62" x14ac:dyDescent="0.25">
      <c r="A253" s="137" t="s">
        <v>180</v>
      </c>
      <c r="B253" s="137" t="s">
        <v>389</v>
      </c>
      <c r="C253" s="223" t="s">
        <v>608</v>
      </c>
      <c r="D253" s="221"/>
      <c r="E253" s="224"/>
      <c r="F253" s="137" t="s">
        <v>627</v>
      </c>
      <c r="G253" s="92">
        <v>41.823</v>
      </c>
      <c r="H253" s="17">
        <v>0</v>
      </c>
      <c r="I253" s="93">
        <f t="shared" si="136"/>
        <v>0</v>
      </c>
      <c r="J253" s="93">
        <f t="shared" si="137"/>
        <v>0</v>
      </c>
      <c r="K253" s="93">
        <f t="shared" si="138"/>
        <v>0</v>
      </c>
      <c r="L253" s="94">
        <f>IF(K264=0,0,K253/K264)</f>
        <v>0</v>
      </c>
      <c r="M253" s="95" t="s">
        <v>657</v>
      </c>
      <c r="Z253" s="32">
        <f t="shared" si="139"/>
        <v>0</v>
      </c>
      <c r="AB253" s="32">
        <f t="shared" si="140"/>
        <v>0</v>
      </c>
      <c r="AC253" s="32">
        <f t="shared" si="141"/>
        <v>0</v>
      </c>
      <c r="AD253" s="32">
        <f t="shared" si="142"/>
        <v>0</v>
      </c>
      <c r="AE253" s="32">
        <f t="shared" si="143"/>
        <v>0</v>
      </c>
      <c r="AF253" s="32">
        <f t="shared" si="144"/>
        <v>0</v>
      </c>
      <c r="AG253" s="32">
        <f t="shared" si="145"/>
        <v>0</v>
      </c>
      <c r="AH253" s="32">
        <f t="shared" si="146"/>
        <v>0</v>
      </c>
      <c r="AI253" s="28"/>
      <c r="AJ253" s="12">
        <f t="shared" si="147"/>
        <v>0</v>
      </c>
      <c r="AK253" s="12">
        <f t="shared" si="148"/>
        <v>0</v>
      </c>
      <c r="AL253" s="12">
        <f t="shared" si="149"/>
        <v>0</v>
      </c>
      <c r="AN253" s="32">
        <v>21</v>
      </c>
      <c r="AO253" s="32">
        <f t="shared" si="150"/>
        <v>0</v>
      </c>
      <c r="AP253" s="32">
        <f t="shared" si="151"/>
        <v>0</v>
      </c>
      <c r="AQ253" s="27" t="s">
        <v>11</v>
      </c>
      <c r="AV253" s="32">
        <f t="shared" si="152"/>
        <v>0</v>
      </c>
      <c r="AW253" s="32">
        <f t="shared" si="153"/>
        <v>0</v>
      </c>
      <c r="AX253" s="32">
        <f t="shared" si="154"/>
        <v>0</v>
      </c>
      <c r="AY253" s="33" t="s">
        <v>707</v>
      </c>
      <c r="AZ253" s="33" t="s">
        <v>720</v>
      </c>
      <c r="BA253" s="28" t="s">
        <v>721</v>
      </c>
      <c r="BC253" s="32">
        <f t="shared" si="155"/>
        <v>0</v>
      </c>
      <c r="BD253" s="32">
        <f t="shared" si="156"/>
        <v>0</v>
      </c>
      <c r="BE253" s="32">
        <v>0</v>
      </c>
      <c r="BF253" s="32">
        <f>257</f>
        <v>257</v>
      </c>
      <c r="BH253" s="12">
        <f t="shared" si="157"/>
        <v>0</v>
      </c>
      <c r="BI253" s="12">
        <f t="shared" si="158"/>
        <v>0</v>
      </c>
      <c r="BJ253" s="12">
        <f t="shared" si="159"/>
        <v>0</v>
      </c>
    </row>
    <row r="254" spans="1:62" x14ac:dyDescent="0.25">
      <c r="A254" s="132" t="s">
        <v>181</v>
      </c>
      <c r="B254" s="132" t="s">
        <v>390</v>
      </c>
      <c r="C254" s="225" t="s">
        <v>609</v>
      </c>
      <c r="D254" s="221"/>
      <c r="E254" s="221"/>
      <c r="F254" s="132" t="s">
        <v>627</v>
      </c>
      <c r="G254" s="77">
        <v>0.42899999999999999</v>
      </c>
      <c r="H254" s="96">
        <v>0</v>
      </c>
      <c r="I254" s="12">
        <f t="shared" si="136"/>
        <v>0</v>
      </c>
      <c r="J254" s="12">
        <f t="shared" si="137"/>
        <v>0</v>
      </c>
      <c r="K254" s="12">
        <f t="shared" si="138"/>
        <v>0</v>
      </c>
      <c r="L254" s="37">
        <f>IF(K264=0,0,K254/K264)</f>
        <v>0</v>
      </c>
      <c r="M254" s="27" t="s">
        <v>657</v>
      </c>
      <c r="Z254" s="32">
        <f t="shared" si="139"/>
        <v>0</v>
      </c>
      <c r="AB254" s="32">
        <f t="shared" si="140"/>
        <v>0</v>
      </c>
      <c r="AC254" s="32">
        <f t="shared" si="141"/>
        <v>0</v>
      </c>
      <c r="AD254" s="32">
        <f t="shared" si="142"/>
        <v>0</v>
      </c>
      <c r="AE254" s="32">
        <f t="shared" si="143"/>
        <v>0</v>
      </c>
      <c r="AF254" s="32">
        <f t="shared" si="144"/>
        <v>0</v>
      </c>
      <c r="AG254" s="32">
        <f t="shared" si="145"/>
        <v>0</v>
      </c>
      <c r="AH254" s="32">
        <f t="shared" si="146"/>
        <v>0</v>
      </c>
      <c r="AI254" s="28"/>
      <c r="AJ254" s="12">
        <f t="shared" si="147"/>
        <v>0</v>
      </c>
      <c r="AK254" s="12">
        <f t="shared" si="148"/>
        <v>0</v>
      </c>
      <c r="AL254" s="12">
        <f t="shared" si="149"/>
        <v>0</v>
      </c>
      <c r="AN254" s="32">
        <v>21</v>
      </c>
      <c r="AO254" s="32">
        <f t="shared" si="150"/>
        <v>0</v>
      </c>
      <c r="AP254" s="32">
        <f t="shared" si="151"/>
        <v>0</v>
      </c>
      <c r="AQ254" s="27" t="s">
        <v>11</v>
      </c>
      <c r="AV254" s="32">
        <f t="shared" si="152"/>
        <v>0</v>
      </c>
      <c r="AW254" s="32">
        <f t="shared" si="153"/>
        <v>0</v>
      </c>
      <c r="AX254" s="32">
        <f t="shared" si="154"/>
        <v>0</v>
      </c>
      <c r="AY254" s="33" t="s">
        <v>707</v>
      </c>
      <c r="AZ254" s="33" t="s">
        <v>720</v>
      </c>
      <c r="BA254" s="28" t="s">
        <v>721</v>
      </c>
      <c r="BC254" s="32">
        <f t="shared" si="155"/>
        <v>0</v>
      </c>
      <c r="BD254" s="32">
        <f t="shared" si="156"/>
        <v>0</v>
      </c>
      <c r="BE254" s="32">
        <v>0</v>
      </c>
      <c r="BF254" s="32">
        <f>258</f>
        <v>258</v>
      </c>
      <c r="BH254" s="12">
        <f t="shared" si="157"/>
        <v>0</v>
      </c>
      <c r="BI254" s="12">
        <f t="shared" si="158"/>
        <v>0</v>
      </c>
      <c r="BJ254" s="12">
        <f t="shared" si="159"/>
        <v>0</v>
      </c>
    </row>
    <row r="255" spans="1:62" x14ac:dyDescent="0.25">
      <c r="A255" s="132" t="s">
        <v>182</v>
      </c>
      <c r="B255" s="132" t="s">
        <v>391</v>
      </c>
      <c r="C255" s="225" t="s">
        <v>610</v>
      </c>
      <c r="D255" s="221"/>
      <c r="E255" s="221"/>
      <c r="F255" s="132" t="s">
        <v>627</v>
      </c>
      <c r="G255" s="77">
        <v>0.13400000000000001</v>
      </c>
      <c r="H255" s="96">
        <v>0</v>
      </c>
      <c r="I255" s="12">
        <f t="shared" si="136"/>
        <v>0</v>
      </c>
      <c r="J255" s="12">
        <f t="shared" si="137"/>
        <v>0</v>
      </c>
      <c r="K255" s="12">
        <f t="shared" si="138"/>
        <v>0</v>
      </c>
      <c r="L255" s="37">
        <f>IF(K264=0,0,K255/K264)</f>
        <v>0</v>
      </c>
      <c r="M255" s="27" t="s">
        <v>657</v>
      </c>
      <c r="Z255" s="32">
        <f t="shared" si="139"/>
        <v>0</v>
      </c>
      <c r="AB255" s="32">
        <f t="shared" si="140"/>
        <v>0</v>
      </c>
      <c r="AC255" s="32">
        <f t="shared" si="141"/>
        <v>0</v>
      </c>
      <c r="AD255" s="32">
        <f t="shared" si="142"/>
        <v>0</v>
      </c>
      <c r="AE255" s="32">
        <f t="shared" si="143"/>
        <v>0</v>
      </c>
      <c r="AF255" s="32">
        <f t="shared" si="144"/>
        <v>0</v>
      </c>
      <c r="AG255" s="32">
        <f t="shared" si="145"/>
        <v>0</v>
      </c>
      <c r="AH255" s="32">
        <f t="shared" si="146"/>
        <v>0</v>
      </c>
      <c r="AI255" s="28"/>
      <c r="AJ255" s="12">
        <f t="shared" si="147"/>
        <v>0</v>
      </c>
      <c r="AK255" s="12">
        <f t="shared" si="148"/>
        <v>0</v>
      </c>
      <c r="AL255" s="12">
        <f t="shared" si="149"/>
        <v>0</v>
      </c>
      <c r="AN255" s="32">
        <v>21</v>
      </c>
      <c r="AO255" s="32">
        <f t="shared" si="150"/>
        <v>0</v>
      </c>
      <c r="AP255" s="32">
        <f t="shared" si="151"/>
        <v>0</v>
      </c>
      <c r="AQ255" s="27" t="s">
        <v>11</v>
      </c>
      <c r="AV255" s="32">
        <f t="shared" si="152"/>
        <v>0</v>
      </c>
      <c r="AW255" s="32">
        <f t="shared" si="153"/>
        <v>0</v>
      </c>
      <c r="AX255" s="32">
        <f t="shared" si="154"/>
        <v>0</v>
      </c>
      <c r="AY255" s="33" t="s">
        <v>707</v>
      </c>
      <c r="AZ255" s="33" t="s">
        <v>720</v>
      </c>
      <c r="BA255" s="28" t="s">
        <v>721</v>
      </c>
      <c r="BC255" s="32">
        <f t="shared" si="155"/>
        <v>0</v>
      </c>
      <c r="BD255" s="32">
        <f t="shared" si="156"/>
        <v>0</v>
      </c>
      <c r="BE255" s="32">
        <v>0</v>
      </c>
      <c r="BF255" s="32">
        <f>259</f>
        <v>259</v>
      </c>
      <c r="BH255" s="12">
        <f t="shared" si="157"/>
        <v>0</v>
      </c>
      <c r="BI255" s="12">
        <f t="shared" si="158"/>
        <v>0</v>
      </c>
      <c r="BJ255" s="12">
        <f t="shared" si="159"/>
        <v>0</v>
      </c>
    </row>
    <row r="256" spans="1:62" x14ac:dyDescent="0.25">
      <c r="A256" s="132" t="s">
        <v>183</v>
      </c>
      <c r="B256" s="132" t="s">
        <v>392</v>
      </c>
      <c r="C256" s="225" t="s">
        <v>611</v>
      </c>
      <c r="D256" s="221"/>
      <c r="E256" s="221"/>
      <c r="F256" s="132" t="s">
        <v>627</v>
      </c>
      <c r="G256" s="77">
        <v>1.486</v>
      </c>
      <c r="H256" s="96">
        <v>0</v>
      </c>
      <c r="I256" s="12">
        <f t="shared" si="136"/>
        <v>0</v>
      </c>
      <c r="J256" s="12">
        <f t="shared" si="137"/>
        <v>0</v>
      </c>
      <c r="K256" s="12">
        <f t="shared" si="138"/>
        <v>0</v>
      </c>
      <c r="L256" s="37">
        <f>IF(K264=0,0,K256/K264)</f>
        <v>0</v>
      </c>
      <c r="M256" s="27" t="s">
        <v>657</v>
      </c>
      <c r="Z256" s="32">
        <f t="shared" si="139"/>
        <v>0</v>
      </c>
      <c r="AB256" s="32">
        <f t="shared" si="140"/>
        <v>0</v>
      </c>
      <c r="AC256" s="32">
        <f t="shared" si="141"/>
        <v>0</v>
      </c>
      <c r="AD256" s="32">
        <f t="shared" si="142"/>
        <v>0</v>
      </c>
      <c r="AE256" s="32">
        <f t="shared" si="143"/>
        <v>0</v>
      </c>
      <c r="AF256" s="32">
        <f t="shared" si="144"/>
        <v>0</v>
      </c>
      <c r="AG256" s="32">
        <f t="shared" si="145"/>
        <v>0</v>
      </c>
      <c r="AH256" s="32">
        <f t="shared" si="146"/>
        <v>0</v>
      </c>
      <c r="AI256" s="28"/>
      <c r="AJ256" s="12">
        <f t="shared" si="147"/>
        <v>0</v>
      </c>
      <c r="AK256" s="12">
        <f t="shared" si="148"/>
        <v>0</v>
      </c>
      <c r="AL256" s="12">
        <f t="shared" si="149"/>
        <v>0</v>
      </c>
      <c r="AN256" s="32">
        <v>21</v>
      </c>
      <c r="AO256" s="32">
        <f t="shared" si="150"/>
        <v>0</v>
      </c>
      <c r="AP256" s="32">
        <f t="shared" si="151"/>
        <v>0</v>
      </c>
      <c r="AQ256" s="27" t="s">
        <v>11</v>
      </c>
      <c r="AV256" s="32">
        <f t="shared" si="152"/>
        <v>0</v>
      </c>
      <c r="AW256" s="32">
        <f t="shared" si="153"/>
        <v>0</v>
      </c>
      <c r="AX256" s="32">
        <f t="shared" si="154"/>
        <v>0</v>
      </c>
      <c r="AY256" s="33" t="s">
        <v>707</v>
      </c>
      <c r="AZ256" s="33" t="s">
        <v>720</v>
      </c>
      <c r="BA256" s="28" t="s">
        <v>721</v>
      </c>
      <c r="BC256" s="32">
        <f t="shared" si="155"/>
        <v>0</v>
      </c>
      <c r="BD256" s="32">
        <f t="shared" si="156"/>
        <v>0</v>
      </c>
      <c r="BE256" s="32">
        <v>0</v>
      </c>
      <c r="BF256" s="32">
        <f>260</f>
        <v>260</v>
      </c>
      <c r="BH256" s="12">
        <f t="shared" si="157"/>
        <v>0</v>
      </c>
      <c r="BI256" s="12">
        <f t="shared" si="158"/>
        <v>0</v>
      </c>
      <c r="BJ256" s="12">
        <f t="shared" si="159"/>
        <v>0</v>
      </c>
    </row>
    <row r="257" spans="1:62" x14ac:dyDescent="0.25">
      <c r="A257" s="132" t="s">
        <v>184</v>
      </c>
      <c r="B257" s="132" t="s">
        <v>393</v>
      </c>
      <c r="C257" s="225" t="s">
        <v>612</v>
      </c>
      <c r="D257" s="221"/>
      <c r="E257" s="221"/>
      <c r="F257" s="132" t="s">
        <v>627</v>
      </c>
      <c r="G257" s="77">
        <v>0.41599999999999998</v>
      </c>
      <c r="H257" s="96">
        <v>0</v>
      </c>
      <c r="I257" s="12">
        <f t="shared" si="136"/>
        <v>0</v>
      </c>
      <c r="J257" s="12">
        <f t="shared" si="137"/>
        <v>0</v>
      </c>
      <c r="K257" s="12">
        <f t="shared" si="138"/>
        <v>0</v>
      </c>
      <c r="L257" s="37">
        <f>IF(K264=0,0,K257/K264)</f>
        <v>0</v>
      </c>
      <c r="M257" s="27" t="s">
        <v>657</v>
      </c>
      <c r="Z257" s="32">
        <f t="shared" si="139"/>
        <v>0</v>
      </c>
      <c r="AB257" s="32">
        <f t="shared" si="140"/>
        <v>0</v>
      </c>
      <c r="AC257" s="32">
        <f t="shared" si="141"/>
        <v>0</v>
      </c>
      <c r="AD257" s="32">
        <f t="shared" si="142"/>
        <v>0</v>
      </c>
      <c r="AE257" s="32">
        <f t="shared" si="143"/>
        <v>0</v>
      </c>
      <c r="AF257" s="32">
        <f t="shared" si="144"/>
        <v>0</v>
      </c>
      <c r="AG257" s="32">
        <f t="shared" si="145"/>
        <v>0</v>
      </c>
      <c r="AH257" s="32">
        <f t="shared" si="146"/>
        <v>0</v>
      </c>
      <c r="AI257" s="28"/>
      <c r="AJ257" s="12">
        <f t="shared" si="147"/>
        <v>0</v>
      </c>
      <c r="AK257" s="12">
        <f t="shared" si="148"/>
        <v>0</v>
      </c>
      <c r="AL257" s="12">
        <f t="shared" si="149"/>
        <v>0</v>
      </c>
      <c r="AN257" s="32">
        <v>21</v>
      </c>
      <c r="AO257" s="32">
        <f t="shared" si="150"/>
        <v>0</v>
      </c>
      <c r="AP257" s="32">
        <f t="shared" si="151"/>
        <v>0</v>
      </c>
      <c r="AQ257" s="27" t="s">
        <v>11</v>
      </c>
      <c r="AV257" s="32">
        <f t="shared" si="152"/>
        <v>0</v>
      </c>
      <c r="AW257" s="32">
        <f t="shared" si="153"/>
        <v>0</v>
      </c>
      <c r="AX257" s="32">
        <f t="shared" si="154"/>
        <v>0</v>
      </c>
      <c r="AY257" s="33" t="s">
        <v>707</v>
      </c>
      <c r="AZ257" s="33" t="s">
        <v>720</v>
      </c>
      <c r="BA257" s="28" t="s">
        <v>721</v>
      </c>
      <c r="BC257" s="32">
        <f t="shared" si="155"/>
        <v>0</v>
      </c>
      <c r="BD257" s="32">
        <f t="shared" si="156"/>
        <v>0</v>
      </c>
      <c r="BE257" s="32">
        <v>0</v>
      </c>
      <c r="BF257" s="32">
        <f>261</f>
        <v>261</v>
      </c>
      <c r="BH257" s="12">
        <f t="shared" si="157"/>
        <v>0</v>
      </c>
      <c r="BI257" s="12">
        <f t="shared" si="158"/>
        <v>0</v>
      </c>
      <c r="BJ257" s="12">
        <f t="shared" si="159"/>
        <v>0</v>
      </c>
    </row>
    <row r="258" spans="1:62" x14ac:dyDescent="0.25">
      <c r="A258" s="132" t="s">
        <v>185</v>
      </c>
      <c r="B258" s="132" t="s">
        <v>394</v>
      </c>
      <c r="C258" s="225" t="s">
        <v>613</v>
      </c>
      <c r="D258" s="221"/>
      <c r="E258" s="221"/>
      <c r="F258" s="132" t="s">
        <v>627</v>
      </c>
      <c r="G258" s="77">
        <v>0.33100000000000002</v>
      </c>
      <c r="H258" s="96">
        <v>0</v>
      </c>
      <c r="I258" s="12">
        <f t="shared" si="136"/>
        <v>0</v>
      </c>
      <c r="J258" s="12">
        <f t="shared" si="137"/>
        <v>0</v>
      </c>
      <c r="K258" s="12">
        <f t="shared" si="138"/>
        <v>0</v>
      </c>
      <c r="L258" s="37">
        <f>IF(K264=0,0,K258/K264)</f>
        <v>0</v>
      </c>
      <c r="M258" s="27" t="s">
        <v>657</v>
      </c>
      <c r="Z258" s="32">
        <f t="shared" si="139"/>
        <v>0</v>
      </c>
      <c r="AB258" s="32">
        <f t="shared" si="140"/>
        <v>0</v>
      </c>
      <c r="AC258" s="32">
        <f t="shared" si="141"/>
        <v>0</v>
      </c>
      <c r="AD258" s="32">
        <f t="shared" si="142"/>
        <v>0</v>
      </c>
      <c r="AE258" s="32">
        <f t="shared" si="143"/>
        <v>0</v>
      </c>
      <c r="AF258" s="32">
        <f t="shared" si="144"/>
        <v>0</v>
      </c>
      <c r="AG258" s="32">
        <f t="shared" si="145"/>
        <v>0</v>
      </c>
      <c r="AH258" s="32">
        <f t="shared" si="146"/>
        <v>0</v>
      </c>
      <c r="AI258" s="28"/>
      <c r="AJ258" s="12">
        <f t="shared" si="147"/>
        <v>0</v>
      </c>
      <c r="AK258" s="12">
        <f t="shared" si="148"/>
        <v>0</v>
      </c>
      <c r="AL258" s="12">
        <f t="shared" si="149"/>
        <v>0</v>
      </c>
      <c r="AN258" s="32">
        <v>21</v>
      </c>
      <c r="AO258" s="32">
        <f t="shared" si="150"/>
        <v>0</v>
      </c>
      <c r="AP258" s="32">
        <f t="shared" si="151"/>
        <v>0</v>
      </c>
      <c r="AQ258" s="27" t="s">
        <v>11</v>
      </c>
      <c r="AV258" s="32">
        <f t="shared" si="152"/>
        <v>0</v>
      </c>
      <c r="AW258" s="32">
        <f t="shared" si="153"/>
        <v>0</v>
      </c>
      <c r="AX258" s="32">
        <f t="shared" si="154"/>
        <v>0</v>
      </c>
      <c r="AY258" s="33" t="s">
        <v>707</v>
      </c>
      <c r="AZ258" s="33" t="s">
        <v>720</v>
      </c>
      <c r="BA258" s="28" t="s">
        <v>721</v>
      </c>
      <c r="BC258" s="32">
        <f t="shared" si="155"/>
        <v>0</v>
      </c>
      <c r="BD258" s="32">
        <f t="shared" si="156"/>
        <v>0</v>
      </c>
      <c r="BE258" s="32">
        <v>0</v>
      </c>
      <c r="BF258" s="32">
        <f>262</f>
        <v>262</v>
      </c>
      <c r="BH258" s="12">
        <f t="shared" si="157"/>
        <v>0</v>
      </c>
      <c r="BI258" s="12">
        <f t="shared" si="158"/>
        <v>0</v>
      </c>
      <c r="BJ258" s="12">
        <f t="shared" si="159"/>
        <v>0</v>
      </c>
    </row>
    <row r="259" spans="1:62" x14ac:dyDescent="0.25">
      <c r="A259" s="132" t="s">
        <v>186</v>
      </c>
      <c r="B259" s="132" t="s">
        <v>395</v>
      </c>
      <c r="C259" s="225" t="s">
        <v>614</v>
      </c>
      <c r="D259" s="221"/>
      <c r="E259" s="221"/>
      <c r="F259" s="132" t="s">
        <v>627</v>
      </c>
      <c r="G259" s="77">
        <v>1.9E-2</v>
      </c>
      <c r="H259" s="96">
        <v>0</v>
      </c>
      <c r="I259" s="12">
        <f t="shared" si="136"/>
        <v>0</v>
      </c>
      <c r="J259" s="12">
        <f t="shared" si="137"/>
        <v>0</v>
      </c>
      <c r="K259" s="12">
        <f t="shared" si="138"/>
        <v>0</v>
      </c>
      <c r="L259" s="37">
        <f>IF(K264=0,0,K259/K264)</f>
        <v>0</v>
      </c>
      <c r="M259" s="27" t="s">
        <v>657</v>
      </c>
      <c r="Z259" s="32">
        <f t="shared" si="139"/>
        <v>0</v>
      </c>
      <c r="AB259" s="32">
        <f t="shared" si="140"/>
        <v>0</v>
      </c>
      <c r="AC259" s="32">
        <f t="shared" si="141"/>
        <v>0</v>
      </c>
      <c r="AD259" s="32">
        <f t="shared" si="142"/>
        <v>0</v>
      </c>
      <c r="AE259" s="32">
        <f t="shared" si="143"/>
        <v>0</v>
      </c>
      <c r="AF259" s="32">
        <f t="shared" si="144"/>
        <v>0</v>
      </c>
      <c r="AG259" s="32">
        <f t="shared" si="145"/>
        <v>0</v>
      </c>
      <c r="AH259" s="32">
        <f t="shared" si="146"/>
        <v>0</v>
      </c>
      <c r="AI259" s="28"/>
      <c r="AJ259" s="12">
        <f t="shared" si="147"/>
        <v>0</v>
      </c>
      <c r="AK259" s="12">
        <f t="shared" si="148"/>
        <v>0</v>
      </c>
      <c r="AL259" s="12">
        <f t="shared" si="149"/>
        <v>0</v>
      </c>
      <c r="AN259" s="32">
        <v>21</v>
      </c>
      <c r="AO259" s="32">
        <f t="shared" si="150"/>
        <v>0</v>
      </c>
      <c r="AP259" s="32">
        <f t="shared" si="151"/>
        <v>0</v>
      </c>
      <c r="AQ259" s="27" t="s">
        <v>11</v>
      </c>
      <c r="AV259" s="32">
        <f t="shared" si="152"/>
        <v>0</v>
      </c>
      <c r="AW259" s="32">
        <f t="shared" si="153"/>
        <v>0</v>
      </c>
      <c r="AX259" s="32">
        <f t="shared" si="154"/>
        <v>0</v>
      </c>
      <c r="AY259" s="33" t="s">
        <v>707</v>
      </c>
      <c r="AZ259" s="33" t="s">
        <v>720</v>
      </c>
      <c r="BA259" s="28" t="s">
        <v>721</v>
      </c>
      <c r="BC259" s="32">
        <f t="shared" si="155"/>
        <v>0</v>
      </c>
      <c r="BD259" s="32">
        <f t="shared" si="156"/>
        <v>0</v>
      </c>
      <c r="BE259" s="32">
        <v>0</v>
      </c>
      <c r="BF259" s="32">
        <f>263</f>
        <v>263</v>
      </c>
      <c r="BH259" s="12">
        <f t="shared" si="157"/>
        <v>0</v>
      </c>
      <c r="BI259" s="12">
        <f t="shared" si="158"/>
        <v>0</v>
      </c>
      <c r="BJ259" s="12">
        <f t="shared" si="159"/>
        <v>0</v>
      </c>
    </row>
    <row r="260" spans="1:62" x14ac:dyDescent="0.25">
      <c r="A260" s="132" t="s">
        <v>187</v>
      </c>
      <c r="B260" s="132" t="s">
        <v>396</v>
      </c>
      <c r="C260" s="225" t="s">
        <v>615</v>
      </c>
      <c r="D260" s="221"/>
      <c r="E260" s="221"/>
      <c r="F260" s="132" t="s">
        <v>627</v>
      </c>
      <c r="G260" s="77">
        <v>0.41699999999999998</v>
      </c>
      <c r="H260" s="96">
        <v>0</v>
      </c>
      <c r="I260" s="12">
        <f t="shared" si="136"/>
        <v>0</v>
      </c>
      <c r="J260" s="12">
        <f t="shared" si="137"/>
        <v>0</v>
      </c>
      <c r="K260" s="12">
        <f t="shared" si="138"/>
        <v>0</v>
      </c>
      <c r="L260" s="37">
        <f>IF(K264=0,0,K260/K264)</f>
        <v>0</v>
      </c>
      <c r="M260" s="27" t="s">
        <v>657</v>
      </c>
      <c r="Z260" s="32">
        <f t="shared" si="139"/>
        <v>0</v>
      </c>
      <c r="AB260" s="32">
        <f t="shared" si="140"/>
        <v>0</v>
      </c>
      <c r="AC260" s="32">
        <f t="shared" si="141"/>
        <v>0</v>
      </c>
      <c r="AD260" s="32">
        <f t="shared" si="142"/>
        <v>0</v>
      </c>
      <c r="AE260" s="32">
        <f t="shared" si="143"/>
        <v>0</v>
      </c>
      <c r="AF260" s="32">
        <f t="shared" si="144"/>
        <v>0</v>
      </c>
      <c r="AG260" s="32">
        <f t="shared" si="145"/>
        <v>0</v>
      </c>
      <c r="AH260" s="32">
        <f t="shared" si="146"/>
        <v>0</v>
      </c>
      <c r="AI260" s="28"/>
      <c r="AJ260" s="12">
        <f t="shared" si="147"/>
        <v>0</v>
      </c>
      <c r="AK260" s="12">
        <f t="shared" si="148"/>
        <v>0</v>
      </c>
      <c r="AL260" s="12">
        <f t="shared" si="149"/>
        <v>0</v>
      </c>
      <c r="AN260" s="32">
        <v>21</v>
      </c>
      <c r="AO260" s="32">
        <f t="shared" si="150"/>
        <v>0</v>
      </c>
      <c r="AP260" s="32">
        <f t="shared" si="151"/>
        <v>0</v>
      </c>
      <c r="AQ260" s="27" t="s">
        <v>11</v>
      </c>
      <c r="AV260" s="32">
        <f t="shared" si="152"/>
        <v>0</v>
      </c>
      <c r="AW260" s="32">
        <f t="shared" si="153"/>
        <v>0</v>
      </c>
      <c r="AX260" s="32">
        <f t="shared" si="154"/>
        <v>0</v>
      </c>
      <c r="AY260" s="33" t="s">
        <v>707</v>
      </c>
      <c r="AZ260" s="33" t="s">
        <v>720</v>
      </c>
      <c r="BA260" s="28" t="s">
        <v>721</v>
      </c>
      <c r="BC260" s="32">
        <f t="shared" si="155"/>
        <v>0</v>
      </c>
      <c r="BD260" s="32">
        <f t="shared" si="156"/>
        <v>0</v>
      </c>
      <c r="BE260" s="32">
        <v>0</v>
      </c>
      <c r="BF260" s="32">
        <f>264</f>
        <v>264</v>
      </c>
      <c r="BH260" s="12">
        <f t="shared" si="157"/>
        <v>0</v>
      </c>
      <c r="BI260" s="12">
        <f t="shared" si="158"/>
        <v>0</v>
      </c>
      <c r="BJ260" s="12">
        <f t="shared" si="159"/>
        <v>0</v>
      </c>
    </row>
    <row r="261" spans="1:62" x14ac:dyDescent="0.25">
      <c r="A261" s="136" t="s">
        <v>188</v>
      </c>
      <c r="B261" s="136" t="s">
        <v>397</v>
      </c>
      <c r="C261" s="220" t="s">
        <v>616</v>
      </c>
      <c r="D261" s="221"/>
      <c r="E261" s="222"/>
      <c r="F261" s="136" t="s">
        <v>627</v>
      </c>
      <c r="G261" s="88">
        <v>31.484000000000002</v>
      </c>
      <c r="H261" s="17">
        <v>0</v>
      </c>
      <c r="I261" s="89">
        <f t="shared" si="136"/>
        <v>0</v>
      </c>
      <c r="J261" s="89">
        <f t="shared" si="137"/>
        <v>0</v>
      </c>
      <c r="K261" s="89">
        <f t="shared" si="138"/>
        <v>0</v>
      </c>
      <c r="L261" s="90">
        <f>IF(K264=0,0,K261/K264)</f>
        <v>0</v>
      </c>
      <c r="M261" s="91" t="s">
        <v>657</v>
      </c>
      <c r="Z261" s="32">
        <f t="shared" si="139"/>
        <v>0</v>
      </c>
      <c r="AB261" s="32">
        <f t="shared" si="140"/>
        <v>0</v>
      </c>
      <c r="AC261" s="32">
        <f t="shared" si="141"/>
        <v>0</v>
      </c>
      <c r="AD261" s="32">
        <f t="shared" si="142"/>
        <v>0</v>
      </c>
      <c r="AE261" s="32">
        <f t="shared" si="143"/>
        <v>0</v>
      </c>
      <c r="AF261" s="32">
        <f t="shared" si="144"/>
        <v>0</v>
      </c>
      <c r="AG261" s="32">
        <f t="shared" si="145"/>
        <v>0</v>
      </c>
      <c r="AH261" s="32">
        <f t="shared" si="146"/>
        <v>0</v>
      </c>
      <c r="AI261" s="28"/>
      <c r="AJ261" s="12">
        <f t="shared" si="147"/>
        <v>0</v>
      </c>
      <c r="AK261" s="12">
        <f t="shared" si="148"/>
        <v>0</v>
      </c>
      <c r="AL261" s="12">
        <f t="shared" si="149"/>
        <v>0</v>
      </c>
      <c r="AN261" s="32">
        <v>21</v>
      </c>
      <c r="AO261" s="32">
        <f t="shared" si="150"/>
        <v>0</v>
      </c>
      <c r="AP261" s="32">
        <f t="shared" si="151"/>
        <v>0</v>
      </c>
      <c r="AQ261" s="27" t="s">
        <v>11</v>
      </c>
      <c r="AV261" s="32">
        <f t="shared" si="152"/>
        <v>0</v>
      </c>
      <c r="AW261" s="32">
        <f t="shared" si="153"/>
        <v>0</v>
      </c>
      <c r="AX261" s="32">
        <f t="shared" si="154"/>
        <v>0</v>
      </c>
      <c r="AY261" s="33" t="s">
        <v>707</v>
      </c>
      <c r="AZ261" s="33" t="s">
        <v>720</v>
      </c>
      <c r="BA261" s="28" t="s">
        <v>721</v>
      </c>
      <c r="BC261" s="32">
        <f t="shared" si="155"/>
        <v>0</v>
      </c>
      <c r="BD261" s="32">
        <f t="shared" si="156"/>
        <v>0</v>
      </c>
      <c r="BE261" s="32">
        <v>0</v>
      </c>
      <c r="BF261" s="32">
        <f>265</f>
        <v>265</v>
      </c>
      <c r="BH261" s="12">
        <f t="shared" si="157"/>
        <v>0</v>
      </c>
      <c r="BI261" s="12">
        <f t="shared" si="158"/>
        <v>0</v>
      </c>
      <c r="BJ261" s="12">
        <f t="shared" si="159"/>
        <v>0</v>
      </c>
    </row>
    <row r="262" spans="1:62" x14ac:dyDescent="0.25">
      <c r="A262" s="136" t="s">
        <v>189</v>
      </c>
      <c r="B262" s="136" t="s">
        <v>398</v>
      </c>
      <c r="C262" s="220" t="s">
        <v>617</v>
      </c>
      <c r="D262" s="221"/>
      <c r="E262" s="222"/>
      <c r="F262" s="136" t="s">
        <v>627</v>
      </c>
      <c r="G262" s="88">
        <v>160.90299999999999</v>
      </c>
      <c r="H262" s="17">
        <v>0</v>
      </c>
      <c r="I262" s="89">
        <f t="shared" si="136"/>
        <v>0</v>
      </c>
      <c r="J262" s="89">
        <f t="shared" si="137"/>
        <v>0</v>
      </c>
      <c r="K262" s="89">
        <f t="shared" si="138"/>
        <v>0</v>
      </c>
      <c r="L262" s="90">
        <f>IF(K264=0,0,K262/K264)</f>
        <v>0</v>
      </c>
      <c r="M262" s="91" t="s">
        <v>657</v>
      </c>
      <c r="Z262" s="32">
        <f t="shared" si="139"/>
        <v>0</v>
      </c>
      <c r="AB262" s="32">
        <f t="shared" si="140"/>
        <v>0</v>
      </c>
      <c r="AC262" s="32">
        <f t="shared" si="141"/>
        <v>0</v>
      </c>
      <c r="AD262" s="32">
        <f t="shared" si="142"/>
        <v>0</v>
      </c>
      <c r="AE262" s="32">
        <f t="shared" si="143"/>
        <v>0</v>
      </c>
      <c r="AF262" s="32">
        <f t="shared" si="144"/>
        <v>0</v>
      </c>
      <c r="AG262" s="32">
        <f t="shared" si="145"/>
        <v>0</v>
      </c>
      <c r="AH262" s="32">
        <f t="shared" si="146"/>
        <v>0</v>
      </c>
      <c r="AI262" s="28"/>
      <c r="AJ262" s="12">
        <f t="shared" si="147"/>
        <v>0</v>
      </c>
      <c r="AK262" s="12">
        <f t="shared" si="148"/>
        <v>0</v>
      </c>
      <c r="AL262" s="12">
        <f t="shared" si="149"/>
        <v>0</v>
      </c>
      <c r="AN262" s="32">
        <v>21</v>
      </c>
      <c r="AO262" s="32">
        <f>H262*0.00909119177037965</f>
        <v>0</v>
      </c>
      <c r="AP262" s="32">
        <f>H262*(1-0.00909119177037965)</f>
        <v>0</v>
      </c>
      <c r="AQ262" s="27" t="s">
        <v>11</v>
      </c>
      <c r="AV262" s="32">
        <f t="shared" si="152"/>
        <v>0</v>
      </c>
      <c r="AW262" s="32">
        <f t="shared" si="153"/>
        <v>0</v>
      </c>
      <c r="AX262" s="32">
        <f t="shared" si="154"/>
        <v>0</v>
      </c>
      <c r="AY262" s="33" t="s">
        <v>707</v>
      </c>
      <c r="AZ262" s="33" t="s">
        <v>720</v>
      </c>
      <c r="BA262" s="28" t="s">
        <v>721</v>
      </c>
      <c r="BC262" s="32">
        <f t="shared" si="155"/>
        <v>0</v>
      </c>
      <c r="BD262" s="32">
        <f t="shared" si="156"/>
        <v>0</v>
      </c>
      <c r="BE262" s="32">
        <v>0</v>
      </c>
      <c r="BF262" s="32">
        <f>266</f>
        <v>266</v>
      </c>
      <c r="BH262" s="12">
        <f t="shared" si="157"/>
        <v>0</v>
      </c>
      <c r="BI262" s="12">
        <f t="shared" si="158"/>
        <v>0</v>
      </c>
      <c r="BJ262" s="12">
        <f t="shared" si="159"/>
        <v>0</v>
      </c>
    </row>
    <row r="263" spans="1:62" x14ac:dyDescent="0.25">
      <c r="A263" s="137" t="s">
        <v>190</v>
      </c>
      <c r="B263" s="137" t="s">
        <v>399</v>
      </c>
      <c r="C263" s="223" t="s">
        <v>618</v>
      </c>
      <c r="D263" s="237"/>
      <c r="E263" s="224"/>
      <c r="F263" s="137" t="s">
        <v>627</v>
      </c>
      <c r="G263" s="92">
        <v>3218.06</v>
      </c>
      <c r="H263" s="17">
        <v>0</v>
      </c>
      <c r="I263" s="93">
        <f t="shared" si="136"/>
        <v>0</v>
      </c>
      <c r="J263" s="93">
        <f t="shared" si="137"/>
        <v>0</v>
      </c>
      <c r="K263" s="93">
        <f t="shared" si="138"/>
        <v>0</v>
      </c>
      <c r="L263" s="94">
        <f>IF(K264=0,0,K263/K264)</f>
        <v>0</v>
      </c>
      <c r="M263" s="95" t="s">
        <v>657</v>
      </c>
      <c r="Z263" s="32">
        <f t="shared" si="139"/>
        <v>0</v>
      </c>
      <c r="AB263" s="32">
        <f t="shared" si="140"/>
        <v>0</v>
      </c>
      <c r="AC263" s="32">
        <f t="shared" si="141"/>
        <v>0</v>
      </c>
      <c r="AD263" s="32">
        <f t="shared" si="142"/>
        <v>0</v>
      </c>
      <c r="AE263" s="32">
        <f t="shared" si="143"/>
        <v>0</v>
      </c>
      <c r="AF263" s="32">
        <f t="shared" si="144"/>
        <v>0</v>
      </c>
      <c r="AG263" s="32">
        <f t="shared" si="145"/>
        <v>0</v>
      </c>
      <c r="AH263" s="32">
        <f t="shared" si="146"/>
        <v>0</v>
      </c>
      <c r="AI263" s="28"/>
      <c r="AJ263" s="12">
        <f t="shared" si="147"/>
        <v>0</v>
      </c>
      <c r="AK263" s="12">
        <f t="shared" si="148"/>
        <v>0</v>
      </c>
      <c r="AL263" s="12">
        <f t="shared" si="149"/>
        <v>0</v>
      </c>
      <c r="AN263" s="32">
        <v>21</v>
      </c>
      <c r="AO263" s="32">
        <f>H263*0</f>
        <v>0</v>
      </c>
      <c r="AP263" s="32">
        <f>H263*(1-0)</f>
        <v>0</v>
      </c>
      <c r="AQ263" s="27" t="s">
        <v>11</v>
      </c>
      <c r="AV263" s="32">
        <f t="shared" si="152"/>
        <v>0</v>
      </c>
      <c r="AW263" s="32">
        <f t="shared" si="153"/>
        <v>0</v>
      </c>
      <c r="AX263" s="32">
        <f t="shared" si="154"/>
        <v>0</v>
      </c>
      <c r="AY263" s="33" t="s">
        <v>707</v>
      </c>
      <c r="AZ263" s="33" t="s">
        <v>720</v>
      </c>
      <c r="BA263" s="28" t="s">
        <v>721</v>
      </c>
      <c r="BC263" s="32">
        <f t="shared" si="155"/>
        <v>0</v>
      </c>
      <c r="BD263" s="32">
        <f t="shared" si="156"/>
        <v>0</v>
      </c>
      <c r="BE263" s="32">
        <v>0</v>
      </c>
      <c r="BF263" s="32">
        <f>267</f>
        <v>267</v>
      </c>
      <c r="BH263" s="12">
        <f t="shared" si="157"/>
        <v>0</v>
      </c>
      <c r="BI263" s="12">
        <f t="shared" si="158"/>
        <v>0</v>
      </c>
      <c r="BJ263" s="12">
        <f t="shared" si="159"/>
        <v>0</v>
      </c>
    </row>
    <row r="264" spans="1:62" x14ac:dyDescent="0.25">
      <c r="A264" s="87"/>
      <c r="B264" s="87"/>
      <c r="C264" s="87"/>
      <c r="D264" s="6"/>
      <c r="E264" s="87"/>
      <c r="F264" s="87"/>
      <c r="G264" s="87"/>
      <c r="H264" s="87"/>
      <c r="I264" s="238" t="s">
        <v>651</v>
      </c>
      <c r="J264" s="148"/>
      <c r="K264" s="46">
        <f>ROUND(K12+K16+K19+K23+K28+K33+K43+K46+K53+K57+K60+K66+K72+K78+K81+K87+K91+K99+K103+K107+K110+K114+K119+K132+K136+K148+K152+K155+K159+K167+K171+K174+K178+K182+K189+K209+K216+K218+K221+K249+K251,1)</f>
        <v>0</v>
      </c>
      <c r="L264" s="87"/>
      <c r="M264" s="87"/>
    </row>
    <row r="265" spans="1:62" ht="11.25" customHeight="1" x14ac:dyDescent="0.25">
      <c r="A265" s="7" t="s">
        <v>191</v>
      </c>
    </row>
    <row r="266" spans="1:62" ht="38.4" customHeight="1" x14ac:dyDescent="0.25">
      <c r="A266" s="154" t="s">
        <v>192</v>
      </c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</row>
  </sheetData>
  <sheetProtection algorithmName="SHA-512" hashValue="32sNhxKmtXR4OLEE4LBMQQPcIFe56d4SqrvTD2MRTpe9ZgaaLJJqOW6MawA1MNZlXrOttaCja79mx325/z2haw==" saltValue="/LpkeJsKuAhJqoxxIVnfEA==" spinCount="100000" sheet="1" objects="1" scenarios="1"/>
  <mergeCells count="282">
    <mergeCell ref="C94:E94"/>
    <mergeCell ref="C263:E263"/>
    <mergeCell ref="I264:J264"/>
    <mergeCell ref="A266:M266"/>
    <mergeCell ref="C257:E257"/>
    <mergeCell ref="C258:E258"/>
    <mergeCell ref="C259:E259"/>
    <mergeCell ref="C260:E260"/>
    <mergeCell ref="C261:E261"/>
    <mergeCell ref="C262:E262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86:E86"/>
    <mergeCell ref="C87:E87"/>
    <mergeCell ref="C88:E88"/>
    <mergeCell ref="C89:E89"/>
    <mergeCell ref="C90:E90"/>
    <mergeCell ref="C91:E91"/>
    <mergeCell ref="C92:E92"/>
    <mergeCell ref="C93:E93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69:E69"/>
    <mergeCell ref="C70:E70"/>
    <mergeCell ref="C71:E71"/>
    <mergeCell ref="C72:E72"/>
    <mergeCell ref="C73:E73"/>
    <mergeCell ref="C74:E74"/>
    <mergeCell ref="C75:E75"/>
    <mergeCell ref="C76:E76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54:E54"/>
    <mergeCell ref="C55:E55"/>
    <mergeCell ref="C56:E56"/>
    <mergeCell ref="C57:E57"/>
    <mergeCell ref="C58:E58"/>
    <mergeCell ref="C59:E59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10:E10"/>
    <mergeCell ref="I10:K10"/>
    <mergeCell ref="C11:E11"/>
    <mergeCell ref="C12:E12"/>
    <mergeCell ref="C13:E13"/>
    <mergeCell ref="C14:E14"/>
    <mergeCell ref="C15:E15"/>
    <mergeCell ref="C16:E16"/>
    <mergeCell ref="C17:E17"/>
    <mergeCell ref="A6:B7"/>
    <mergeCell ref="C6:C7"/>
    <mergeCell ref="D6:E7"/>
    <mergeCell ref="F6:G7"/>
    <mergeCell ref="H6:H7"/>
    <mergeCell ref="I6:M7"/>
    <mergeCell ref="A8:B9"/>
    <mergeCell ref="C8:C9"/>
    <mergeCell ref="D8:E9"/>
    <mergeCell ref="F8:G9"/>
    <mergeCell ref="H8:H9"/>
    <mergeCell ref="I8:M9"/>
    <mergeCell ref="A1:M1"/>
    <mergeCell ref="A2:B3"/>
    <mergeCell ref="C2:C3"/>
    <mergeCell ref="D2:E3"/>
    <mergeCell ref="F2:G3"/>
    <mergeCell ref="H2:H3"/>
    <mergeCell ref="I2:M3"/>
    <mergeCell ref="A4:B5"/>
    <mergeCell ref="C4:C5"/>
    <mergeCell ref="D4:E5"/>
    <mergeCell ref="F4:G5"/>
    <mergeCell ref="H4:H5"/>
    <mergeCell ref="I4:M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80"/>
  <sheetViews>
    <sheetView workbookViewId="0">
      <pane ySplit="10" topLeftCell="A190" activePane="bottomLeft" state="frozenSplit"/>
      <selection pane="bottomLeft" activeCell="F195" sqref="F195"/>
    </sheetView>
  </sheetViews>
  <sheetFormatPr defaultColWidth="11.5546875" defaultRowHeight="13.2" x14ac:dyDescent="0.25"/>
  <cols>
    <col min="1" max="2" width="9.109375" style="280" customWidth="1"/>
    <col min="3" max="3" width="13.33203125" style="280" customWidth="1"/>
    <col min="4" max="4" width="63.5546875" style="280" customWidth="1"/>
    <col min="5" max="5" width="14.5546875" style="280" customWidth="1"/>
    <col min="6" max="6" width="24.109375" style="280" customWidth="1"/>
    <col min="7" max="7" width="15.6640625" style="280" customWidth="1"/>
    <col min="8" max="8" width="18.109375" style="280" customWidth="1"/>
    <col min="9" max="16384" width="11.5546875" style="280"/>
  </cols>
  <sheetData>
    <row r="1" spans="1:9" ht="72.900000000000006" customHeight="1" x14ac:dyDescent="0.4">
      <c r="A1" s="199" t="s">
        <v>732</v>
      </c>
      <c r="B1" s="141"/>
      <c r="C1" s="141"/>
      <c r="D1" s="141"/>
      <c r="E1" s="141"/>
      <c r="F1" s="141"/>
      <c r="G1" s="141"/>
      <c r="H1" s="141"/>
    </row>
    <row r="2" spans="1:9" x14ac:dyDescent="0.25">
      <c r="A2" s="142" t="s">
        <v>1</v>
      </c>
      <c r="B2" s="143"/>
      <c r="C2" s="146" t="str">
        <f>'Stavební rozpočet'!C2</f>
        <v>Stavební úpravy budovy, stání aut, změna užívání části budovy ÚHÚL Brandýs nad Labem</v>
      </c>
      <c r="D2" s="147"/>
      <c r="E2" s="149" t="s">
        <v>640</v>
      </c>
      <c r="F2" s="149" t="str">
        <f>'Stavební rozpočet'!I2</f>
        <v>ÚHUL Brandýs nad Labem</v>
      </c>
      <c r="G2" s="143"/>
      <c r="H2" s="200"/>
      <c r="I2" s="30"/>
    </row>
    <row r="3" spans="1:9" x14ac:dyDescent="0.25">
      <c r="A3" s="144"/>
      <c r="B3" s="145"/>
      <c r="C3" s="148"/>
      <c r="D3" s="148"/>
      <c r="E3" s="145"/>
      <c r="F3" s="145"/>
      <c r="G3" s="145"/>
      <c r="H3" s="151"/>
      <c r="I3" s="30"/>
    </row>
    <row r="4" spans="1:9" x14ac:dyDescent="0.25">
      <c r="A4" s="153" t="s">
        <v>2</v>
      </c>
      <c r="B4" s="145"/>
      <c r="C4" s="154" t="str">
        <f>'Stavební rozpočet'!C4</f>
        <v xml:space="preserve"> </v>
      </c>
      <c r="D4" s="145"/>
      <c r="E4" s="154" t="s">
        <v>641</v>
      </c>
      <c r="F4" s="154" t="str">
        <f>'Stavební rozpočet'!I4</f>
        <v>CHMELS - projekty a systémy s.r.o.</v>
      </c>
      <c r="G4" s="145"/>
      <c r="H4" s="151"/>
      <c r="I4" s="30"/>
    </row>
    <row r="5" spans="1:9" x14ac:dyDescent="0.25">
      <c r="A5" s="144"/>
      <c r="B5" s="145"/>
      <c r="C5" s="145"/>
      <c r="D5" s="145"/>
      <c r="E5" s="145"/>
      <c r="F5" s="145"/>
      <c r="G5" s="145"/>
      <c r="H5" s="151"/>
      <c r="I5" s="30"/>
    </row>
    <row r="6" spans="1:9" x14ac:dyDescent="0.25">
      <c r="A6" s="153" t="s">
        <v>3</v>
      </c>
      <c r="B6" s="145"/>
      <c r="C6" s="154" t="str">
        <f>'Stavební rozpočet'!C6</f>
        <v>p.č. 1586/1,1586/22 k.ú. Stará Boleslav, 250 01</v>
      </c>
      <c r="D6" s="145"/>
      <c r="E6" s="154" t="s">
        <v>642</v>
      </c>
      <c r="F6" s="154" t="str">
        <f>'Stavební rozpočet'!I6</f>
        <v> </v>
      </c>
      <c r="G6" s="145"/>
      <c r="H6" s="151"/>
      <c r="I6" s="30"/>
    </row>
    <row r="7" spans="1:9" x14ac:dyDescent="0.25">
      <c r="A7" s="144"/>
      <c r="B7" s="145"/>
      <c r="C7" s="145"/>
      <c r="D7" s="145"/>
      <c r="E7" s="145"/>
      <c r="F7" s="145"/>
      <c r="G7" s="145"/>
      <c r="H7" s="151"/>
      <c r="I7" s="30"/>
    </row>
    <row r="8" spans="1:9" x14ac:dyDescent="0.25">
      <c r="A8" s="153" t="s">
        <v>643</v>
      </c>
      <c r="B8" s="145"/>
      <c r="C8" s="154" t="str">
        <f>'Stavební rozpočet'!I8</f>
        <v> </v>
      </c>
      <c r="D8" s="145"/>
      <c r="E8" s="154" t="s">
        <v>622</v>
      </c>
      <c r="F8" s="154" t="str">
        <f>'Stavební rozpočet'!F8</f>
        <v>08.08.2019</v>
      </c>
      <c r="G8" s="145"/>
      <c r="H8" s="151"/>
      <c r="I8" s="30"/>
    </row>
    <row r="9" spans="1:9" x14ac:dyDescent="0.25">
      <c r="A9" s="201"/>
      <c r="B9" s="202"/>
      <c r="C9" s="202"/>
      <c r="D9" s="202"/>
      <c r="E9" s="202"/>
      <c r="F9" s="202"/>
      <c r="G9" s="202"/>
      <c r="H9" s="203"/>
      <c r="I9" s="30"/>
    </row>
    <row r="10" spans="1:9" x14ac:dyDescent="0.25">
      <c r="A10" s="2" t="s">
        <v>5</v>
      </c>
      <c r="B10" s="8" t="s">
        <v>726</v>
      </c>
      <c r="C10" s="8" t="s">
        <v>193</v>
      </c>
      <c r="D10" s="209" t="s">
        <v>402</v>
      </c>
      <c r="E10" s="211"/>
      <c r="F10" s="8" t="s">
        <v>624</v>
      </c>
      <c r="G10" s="80" t="s">
        <v>639</v>
      </c>
      <c r="H10" s="81" t="s">
        <v>954</v>
      </c>
      <c r="I10" s="31"/>
    </row>
    <row r="11" spans="1:9" x14ac:dyDescent="0.25">
      <c r="A11" s="139" t="s">
        <v>7</v>
      </c>
      <c r="B11" s="139"/>
      <c r="C11" s="139" t="s">
        <v>194</v>
      </c>
      <c r="D11" s="239" t="s">
        <v>405</v>
      </c>
      <c r="E11" s="240"/>
      <c r="F11" s="139" t="s">
        <v>625</v>
      </c>
      <c r="G11" s="108">
        <v>32.76</v>
      </c>
      <c r="H11" s="109">
        <v>0</v>
      </c>
    </row>
    <row r="12" spans="1:9" ht="12.15" customHeight="1" x14ac:dyDescent="0.25">
      <c r="D12" s="241" t="s">
        <v>733</v>
      </c>
      <c r="E12" s="242"/>
      <c r="F12" s="242"/>
      <c r="G12" s="47">
        <v>15.36</v>
      </c>
    </row>
    <row r="13" spans="1:9" ht="12.15" customHeight="1" x14ac:dyDescent="0.25">
      <c r="A13" s="136"/>
      <c r="B13" s="136"/>
      <c r="C13" s="136"/>
      <c r="D13" s="243" t="s">
        <v>734</v>
      </c>
      <c r="E13" s="244"/>
      <c r="F13" s="243"/>
      <c r="G13" s="110">
        <v>15</v>
      </c>
      <c r="H13" s="91"/>
    </row>
    <row r="14" spans="1:9" ht="12.15" customHeight="1" x14ac:dyDescent="0.25">
      <c r="A14" s="136"/>
      <c r="B14" s="136"/>
      <c r="C14" s="136"/>
      <c r="D14" s="243" t="s">
        <v>735</v>
      </c>
      <c r="E14" s="244"/>
      <c r="F14" s="243"/>
      <c r="G14" s="110">
        <v>2.4</v>
      </c>
      <c r="H14" s="91"/>
    </row>
    <row r="15" spans="1:9" x14ac:dyDescent="0.25">
      <c r="A15" s="137" t="s">
        <v>8</v>
      </c>
      <c r="B15" s="137"/>
      <c r="C15" s="137" t="s">
        <v>195</v>
      </c>
      <c r="D15" s="245" t="s">
        <v>406</v>
      </c>
      <c r="E15" s="224"/>
      <c r="F15" s="137" t="s">
        <v>626</v>
      </c>
      <c r="G15" s="77">
        <v>39.036000000000001</v>
      </c>
      <c r="H15" s="111">
        <v>0</v>
      </c>
    </row>
    <row r="16" spans="1:9" ht="12.15" customHeight="1" x14ac:dyDescent="0.25">
      <c r="D16" s="241" t="s">
        <v>736</v>
      </c>
      <c r="E16" s="242"/>
      <c r="F16" s="242"/>
      <c r="G16" s="77">
        <v>39.036000000000001</v>
      </c>
    </row>
    <row r="17" spans="1:8" ht="12.15" customHeight="1" x14ac:dyDescent="0.25">
      <c r="A17" s="137"/>
      <c r="B17" s="137"/>
      <c r="C17" s="137"/>
      <c r="D17" s="246"/>
      <c r="E17" s="247"/>
      <c r="F17" s="246"/>
      <c r="G17" s="112"/>
      <c r="H17" s="95"/>
    </row>
    <row r="18" spans="1:8" x14ac:dyDescent="0.25">
      <c r="A18" s="132" t="s">
        <v>9</v>
      </c>
      <c r="B18" s="132"/>
      <c r="C18" s="132" t="s">
        <v>196</v>
      </c>
      <c r="D18" s="225" t="s">
        <v>407</v>
      </c>
      <c r="E18" s="221"/>
      <c r="F18" s="132" t="s">
        <v>625</v>
      </c>
      <c r="G18" s="77">
        <v>39.036000000000001</v>
      </c>
      <c r="H18" s="12">
        <v>0</v>
      </c>
    </row>
    <row r="19" spans="1:8" ht="12.15" customHeight="1" x14ac:dyDescent="0.25">
      <c r="D19" s="241" t="s">
        <v>737</v>
      </c>
      <c r="E19" s="242"/>
      <c r="F19" s="242"/>
      <c r="G19" s="47">
        <v>39.036000000000001</v>
      </c>
    </row>
    <row r="20" spans="1:8" x14ac:dyDescent="0.25">
      <c r="A20" s="132" t="s">
        <v>10</v>
      </c>
      <c r="B20" s="132"/>
      <c r="C20" s="132" t="s">
        <v>197</v>
      </c>
      <c r="D20" s="275" t="s">
        <v>1115</v>
      </c>
      <c r="E20" s="221"/>
      <c r="F20" s="132" t="s">
        <v>626</v>
      </c>
      <c r="G20" s="77">
        <v>11.109</v>
      </c>
      <c r="H20" s="12">
        <v>0</v>
      </c>
    </row>
    <row r="21" spans="1:8" ht="12.15" customHeight="1" x14ac:dyDescent="0.25">
      <c r="D21" s="241" t="s">
        <v>738</v>
      </c>
      <c r="E21" s="242"/>
      <c r="F21" s="242"/>
      <c r="G21" s="47">
        <v>1.35</v>
      </c>
    </row>
    <row r="22" spans="1:8" ht="12.15" customHeight="1" x14ac:dyDescent="0.25">
      <c r="A22" s="132"/>
      <c r="B22" s="132"/>
      <c r="C22" s="132"/>
      <c r="D22" s="241" t="s">
        <v>739</v>
      </c>
      <c r="E22" s="242"/>
      <c r="F22" s="241"/>
      <c r="G22" s="76">
        <v>9.7590000000000003</v>
      </c>
      <c r="H22" s="27"/>
    </row>
    <row r="23" spans="1:8" x14ac:dyDescent="0.25">
      <c r="A23" s="137" t="s">
        <v>11</v>
      </c>
      <c r="B23" s="137"/>
      <c r="C23" s="137" t="s">
        <v>198</v>
      </c>
      <c r="D23" s="276" t="s">
        <v>1116</v>
      </c>
      <c r="E23" s="224"/>
      <c r="F23" s="137" t="s">
        <v>626</v>
      </c>
      <c r="G23" s="92">
        <v>2.88</v>
      </c>
      <c r="H23" s="111">
        <v>0</v>
      </c>
    </row>
    <row r="24" spans="1:8" ht="12.15" customHeight="1" x14ac:dyDescent="0.25">
      <c r="D24" s="241" t="s">
        <v>740</v>
      </c>
      <c r="E24" s="242"/>
      <c r="F24" s="242"/>
      <c r="G24" s="47">
        <v>2.88</v>
      </c>
    </row>
    <row r="25" spans="1:8" x14ac:dyDescent="0.25">
      <c r="A25" s="137" t="s">
        <v>12</v>
      </c>
      <c r="B25" s="137"/>
      <c r="C25" s="137" t="s">
        <v>199</v>
      </c>
      <c r="D25" s="245" t="s">
        <v>410</v>
      </c>
      <c r="E25" s="224"/>
      <c r="F25" s="137" t="s">
        <v>626</v>
      </c>
      <c r="G25" s="92">
        <v>13.989000000000001</v>
      </c>
      <c r="H25" s="111">
        <v>0</v>
      </c>
    </row>
    <row r="26" spans="1:8" ht="12.15" customHeight="1" x14ac:dyDescent="0.25">
      <c r="D26" s="241" t="s">
        <v>738</v>
      </c>
      <c r="E26" s="242"/>
      <c r="F26" s="242"/>
      <c r="G26" s="47">
        <v>1.35</v>
      </c>
    </row>
    <row r="27" spans="1:8" ht="12.15" customHeight="1" x14ac:dyDescent="0.25">
      <c r="A27" s="136"/>
      <c r="B27" s="136"/>
      <c r="C27" s="136"/>
      <c r="D27" s="243" t="s">
        <v>739</v>
      </c>
      <c r="E27" s="244"/>
      <c r="F27" s="243"/>
      <c r="G27" s="110">
        <v>9.7590000000000003</v>
      </c>
      <c r="H27" s="91"/>
    </row>
    <row r="28" spans="1:8" ht="12.15" customHeight="1" x14ac:dyDescent="0.25">
      <c r="A28" s="136"/>
      <c r="B28" s="136"/>
      <c r="C28" s="136"/>
      <c r="D28" s="243" t="s">
        <v>740</v>
      </c>
      <c r="E28" s="244"/>
      <c r="F28" s="243"/>
      <c r="G28" s="110">
        <v>2.88</v>
      </c>
      <c r="H28" s="91"/>
    </row>
    <row r="29" spans="1:8" x14ac:dyDescent="0.25">
      <c r="A29" s="137" t="s">
        <v>13</v>
      </c>
      <c r="B29" s="137"/>
      <c r="C29" s="137" t="s">
        <v>200</v>
      </c>
      <c r="D29" s="245" t="s">
        <v>411</v>
      </c>
      <c r="E29" s="224"/>
      <c r="F29" s="137" t="s">
        <v>627</v>
      </c>
      <c r="G29" s="92">
        <v>22.382000000000001</v>
      </c>
      <c r="H29" s="111">
        <v>0</v>
      </c>
    </row>
    <row r="30" spans="1:8" ht="12.15" customHeight="1" x14ac:dyDescent="0.25">
      <c r="D30" s="241" t="s">
        <v>741</v>
      </c>
      <c r="E30" s="242"/>
      <c r="F30" s="242"/>
      <c r="G30" s="47">
        <v>2.16</v>
      </c>
    </row>
    <row r="31" spans="1:8" ht="12.15" customHeight="1" x14ac:dyDescent="0.25">
      <c r="A31" s="136"/>
      <c r="B31" s="136"/>
      <c r="C31" s="136"/>
      <c r="D31" s="243" t="s">
        <v>742</v>
      </c>
      <c r="E31" s="244"/>
      <c r="F31" s="243"/>
      <c r="G31" s="110">
        <v>15.614000000000001</v>
      </c>
      <c r="H31" s="91"/>
    </row>
    <row r="32" spans="1:8" ht="12.15" customHeight="1" x14ac:dyDescent="0.25">
      <c r="A32" s="136"/>
      <c r="B32" s="136"/>
      <c r="C32" s="136"/>
      <c r="D32" s="243" t="s">
        <v>743</v>
      </c>
      <c r="E32" s="244"/>
      <c r="F32" s="243"/>
      <c r="G32" s="110">
        <v>4.6079999999999997</v>
      </c>
      <c r="H32" s="91"/>
    </row>
    <row r="33" spans="1:8" x14ac:dyDescent="0.25">
      <c r="A33" s="137" t="s">
        <v>14</v>
      </c>
      <c r="B33" s="137"/>
      <c r="C33" s="137" t="s">
        <v>201</v>
      </c>
      <c r="D33" s="245" t="s">
        <v>412</v>
      </c>
      <c r="E33" s="224"/>
      <c r="F33" s="137" t="s">
        <v>626</v>
      </c>
      <c r="G33" s="92">
        <v>279.77999999999997</v>
      </c>
      <c r="H33" s="111">
        <v>0</v>
      </c>
    </row>
    <row r="34" spans="1:8" ht="12.15" customHeight="1" x14ac:dyDescent="0.25">
      <c r="D34" s="241" t="s">
        <v>744</v>
      </c>
      <c r="E34" s="242"/>
      <c r="F34" s="242"/>
      <c r="G34" s="47">
        <v>279.77999999999997</v>
      </c>
    </row>
    <row r="35" spans="1:8" x14ac:dyDescent="0.25">
      <c r="A35" s="137" t="s">
        <v>15</v>
      </c>
      <c r="B35" s="137"/>
      <c r="C35" s="137" t="s">
        <v>202</v>
      </c>
      <c r="D35" s="245" t="s">
        <v>414</v>
      </c>
      <c r="E35" s="224"/>
      <c r="F35" s="137" t="s">
        <v>626</v>
      </c>
      <c r="G35" s="92">
        <v>9.7270000000000003</v>
      </c>
      <c r="H35" s="111">
        <v>0</v>
      </c>
    </row>
    <row r="36" spans="1:8" ht="12.15" customHeight="1" x14ac:dyDescent="0.25">
      <c r="D36" s="241" t="s">
        <v>745</v>
      </c>
      <c r="E36" s="242"/>
      <c r="F36" s="242"/>
      <c r="G36" s="47">
        <v>7.8070000000000004</v>
      </c>
    </row>
    <row r="37" spans="1:8" ht="12.15" customHeight="1" x14ac:dyDescent="0.25">
      <c r="A37" s="136"/>
      <c r="B37" s="136"/>
      <c r="C37" s="136"/>
      <c r="D37" s="243" t="s">
        <v>746</v>
      </c>
      <c r="E37" s="244"/>
      <c r="F37" s="243"/>
      <c r="G37" s="110">
        <v>1.92</v>
      </c>
      <c r="H37" s="91"/>
    </row>
    <row r="38" spans="1:8" x14ac:dyDescent="0.25">
      <c r="A38" s="137" t="s">
        <v>16</v>
      </c>
      <c r="B38" s="137"/>
      <c r="C38" s="137" t="s">
        <v>203</v>
      </c>
      <c r="D38" s="245" t="s">
        <v>415</v>
      </c>
      <c r="E38" s="224"/>
      <c r="F38" s="137" t="s">
        <v>626</v>
      </c>
      <c r="G38" s="92">
        <v>0.72</v>
      </c>
      <c r="H38" s="111">
        <v>0</v>
      </c>
    </row>
    <row r="39" spans="1:8" ht="12.15" customHeight="1" x14ac:dyDescent="0.25">
      <c r="D39" s="241" t="s">
        <v>747</v>
      </c>
      <c r="E39" s="242"/>
      <c r="F39" s="242"/>
      <c r="G39" s="47">
        <v>0.72</v>
      </c>
    </row>
    <row r="40" spans="1:8" x14ac:dyDescent="0.25">
      <c r="A40" s="138" t="s">
        <v>17</v>
      </c>
      <c r="B40" s="138"/>
      <c r="C40" s="138" t="s">
        <v>204</v>
      </c>
      <c r="D40" s="277" t="s">
        <v>1117</v>
      </c>
      <c r="E40" s="232"/>
      <c r="F40" s="138" t="s">
        <v>627</v>
      </c>
      <c r="G40" s="97">
        <v>3.84</v>
      </c>
      <c r="H40" s="113">
        <v>0</v>
      </c>
    </row>
    <row r="41" spans="1:8" ht="12.15" customHeight="1" x14ac:dyDescent="0.25">
      <c r="D41" s="248" t="s">
        <v>748</v>
      </c>
      <c r="E41" s="249"/>
      <c r="F41" s="249"/>
      <c r="G41" s="48">
        <v>3.84</v>
      </c>
    </row>
    <row r="42" spans="1:8" x14ac:dyDescent="0.25">
      <c r="A42" s="132" t="s">
        <v>18</v>
      </c>
      <c r="B42" s="132"/>
      <c r="C42" s="132" t="s">
        <v>205</v>
      </c>
      <c r="D42" s="225" t="s">
        <v>418</v>
      </c>
      <c r="E42" s="221"/>
      <c r="F42" s="132" t="s">
        <v>626</v>
      </c>
      <c r="G42" s="77">
        <v>1.35</v>
      </c>
      <c r="H42" s="12">
        <v>0</v>
      </c>
    </row>
    <row r="43" spans="1:8" ht="12.15" customHeight="1" x14ac:dyDescent="0.25">
      <c r="D43" s="241" t="s">
        <v>749</v>
      </c>
      <c r="E43" s="242"/>
      <c r="F43" s="242"/>
      <c r="G43" s="47">
        <v>1.35</v>
      </c>
    </row>
    <row r="44" spans="1:8" x14ac:dyDescent="0.25">
      <c r="A44" s="132" t="s">
        <v>19</v>
      </c>
      <c r="B44" s="132"/>
      <c r="C44" s="132" t="s">
        <v>206</v>
      </c>
      <c r="D44" s="225" t="s">
        <v>420</v>
      </c>
      <c r="E44" s="221"/>
      <c r="F44" s="132" t="s">
        <v>626</v>
      </c>
      <c r="G44" s="77">
        <v>1.8</v>
      </c>
      <c r="H44" s="12">
        <v>0</v>
      </c>
    </row>
    <row r="45" spans="1:8" ht="12.15" customHeight="1" x14ac:dyDescent="0.25">
      <c r="D45" s="241" t="s">
        <v>750</v>
      </c>
      <c r="E45" s="242"/>
      <c r="F45" s="242"/>
      <c r="G45" s="47">
        <v>1.8</v>
      </c>
    </row>
    <row r="46" spans="1:8" x14ac:dyDescent="0.25">
      <c r="A46" s="132" t="s">
        <v>20</v>
      </c>
      <c r="B46" s="132"/>
      <c r="C46" s="132" t="s">
        <v>207</v>
      </c>
      <c r="D46" s="225" t="s">
        <v>421</v>
      </c>
      <c r="E46" s="221"/>
      <c r="F46" s="132" t="s">
        <v>625</v>
      </c>
      <c r="G46" s="77">
        <v>0.75</v>
      </c>
      <c r="H46" s="12">
        <v>0</v>
      </c>
    </row>
    <row r="47" spans="1:8" ht="12.15" customHeight="1" x14ac:dyDescent="0.25">
      <c r="D47" s="241" t="s">
        <v>751</v>
      </c>
      <c r="E47" s="242"/>
      <c r="F47" s="242"/>
      <c r="G47" s="47">
        <v>0.75</v>
      </c>
    </row>
    <row r="48" spans="1:8" x14ac:dyDescent="0.25">
      <c r="A48" s="132" t="s">
        <v>21</v>
      </c>
      <c r="B48" s="132"/>
      <c r="C48" s="132" t="s">
        <v>208</v>
      </c>
      <c r="D48" s="275" t="s">
        <v>1118</v>
      </c>
      <c r="E48" s="221"/>
      <c r="F48" s="132" t="s">
        <v>626</v>
      </c>
      <c r="G48" s="77">
        <v>1.05</v>
      </c>
      <c r="H48" s="12">
        <v>0</v>
      </c>
    </row>
    <row r="49" spans="1:8" ht="12.15" customHeight="1" x14ac:dyDescent="0.25">
      <c r="D49" s="241" t="s">
        <v>752</v>
      </c>
      <c r="E49" s="242"/>
      <c r="F49" s="242"/>
      <c r="G49" s="47">
        <v>1.05</v>
      </c>
    </row>
    <row r="50" spans="1:8" x14ac:dyDescent="0.25">
      <c r="A50" s="132" t="s">
        <v>22</v>
      </c>
      <c r="B50" s="132"/>
      <c r="C50" s="132" t="s">
        <v>209</v>
      </c>
      <c r="D50" s="275" t="s">
        <v>1119</v>
      </c>
      <c r="E50" s="221"/>
      <c r="F50" s="132" t="s">
        <v>626</v>
      </c>
      <c r="G50" s="77">
        <v>0.49399999999999999</v>
      </c>
      <c r="H50" s="12">
        <v>0</v>
      </c>
    </row>
    <row r="51" spans="1:8" ht="12.15" customHeight="1" x14ac:dyDescent="0.25">
      <c r="D51" s="241" t="s">
        <v>753</v>
      </c>
      <c r="E51" s="242"/>
      <c r="F51" s="242"/>
      <c r="G51" s="47">
        <v>0.26</v>
      </c>
    </row>
    <row r="52" spans="1:8" ht="12.15" customHeight="1" x14ac:dyDescent="0.25">
      <c r="A52" s="132"/>
      <c r="B52" s="132"/>
      <c r="C52" s="132"/>
      <c r="D52" s="241" t="s">
        <v>754</v>
      </c>
      <c r="E52" s="242"/>
      <c r="F52" s="241"/>
      <c r="G52" s="76">
        <v>0.126</v>
      </c>
      <c r="H52" s="27"/>
    </row>
    <row r="53" spans="1:8" ht="12.15" customHeight="1" x14ac:dyDescent="0.25">
      <c r="A53" s="132"/>
      <c r="B53" s="132"/>
      <c r="C53" s="132"/>
      <c r="D53" s="241" t="s">
        <v>755</v>
      </c>
      <c r="E53" s="242"/>
      <c r="F53" s="241"/>
      <c r="G53" s="76">
        <v>0.108</v>
      </c>
      <c r="H53" s="27"/>
    </row>
    <row r="54" spans="1:8" x14ac:dyDescent="0.25">
      <c r="A54" s="132" t="s">
        <v>23</v>
      </c>
      <c r="B54" s="132"/>
      <c r="C54" s="132" t="s">
        <v>210</v>
      </c>
      <c r="D54" s="225" t="s">
        <v>425</v>
      </c>
      <c r="E54" s="221"/>
      <c r="F54" s="132" t="s">
        <v>626</v>
      </c>
      <c r="G54" s="77">
        <v>2.0739999999999998</v>
      </c>
      <c r="H54" s="12">
        <v>0</v>
      </c>
    </row>
    <row r="55" spans="1:8" ht="12.15" customHeight="1" x14ac:dyDescent="0.25">
      <c r="D55" s="241" t="s">
        <v>756</v>
      </c>
      <c r="E55" s="242"/>
      <c r="F55" s="242"/>
      <c r="G55" s="47">
        <v>2.0739999999999998</v>
      </c>
    </row>
    <row r="56" spans="1:8" x14ac:dyDescent="0.25">
      <c r="A56" s="132" t="s">
        <v>24</v>
      </c>
      <c r="B56" s="132"/>
      <c r="C56" s="132" t="s">
        <v>211</v>
      </c>
      <c r="D56" s="225" t="s">
        <v>426</v>
      </c>
      <c r="E56" s="221"/>
      <c r="F56" s="132" t="s">
        <v>628</v>
      </c>
      <c r="G56" s="77">
        <v>1</v>
      </c>
      <c r="H56" s="12">
        <v>0</v>
      </c>
    </row>
    <row r="57" spans="1:8" ht="12.15" customHeight="1" x14ac:dyDescent="0.25">
      <c r="D57" s="241" t="s">
        <v>757</v>
      </c>
      <c r="E57" s="242"/>
      <c r="F57" s="242"/>
      <c r="G57" s="47">
        <v>1</v>
      </c>
    </row>
    <row r="58" spans="1:8" x14ac:dyDescent="0.25">
      <c r="A58" s="137" t="s">
        <v>25</v>
      </c>
      <c r="B58" s="137"/>
      <c r="C58" s="137" t="s">
        <v>212</v>
      </c>
      <c r="D58" s="245" t="s">
        <v>428</v>
      </c>
      <c r="E58" s="224"/>
      <c r="F58" s="137" t="s">
        <v>628</v>
      </c>
      <c r="G58" s="92">
        <v>2</v>
      </c>
      <c r="H58" s="111">
        <v>0</v>
      </c>
    </row>
    <row r="59" spans="1:8" ht="12.15" customHeight="1" x14ac:dyDescent="0.25">
      <c r="D59" s="241" t="s">
        <v>758</v>
      </c>
      <c r="E59" s="242"/>
      <c r="F59" s="242"/>
      <c r="G59" s="47">
        <v>2</v>
      </c>
    </row>
    <row r="60" spans="1:8" x14ac:dyDescent="0.25">
      <c r="A60" s="132" t="s">
        <v>26</v>
      </c>
      <c r="B60" s="132"/>
      <c r="C60" s="132" t="s">
        <v>213</v>
      </c>
      <c r="D60" s="225" t="s">
        <v>430</v>
      </c>
      <c r="E60" s="221"/>
      <c r="F60" s="132" t="s">
        <v>625</v>
      </c>
      <c r="G60" s="77">
        <v>55.22</v>
      </c>
      <c r="H60" s="12">
        <v>0</v>
      </c>
    </row>
    <row r="61" spans="1:8" ht="12.15" customHeight="1" x14ac:dyDescent="0.25">
      <c r="D61" s="241" t="s">
        <v>759</v>
      </c>
      <c r="E61" s="242"/>
      <c r="F61" s="242"/>
      <c r="G61" s="47">
        <v>19.47</v>
      </c>
    </row>
    <row r="62" spans="1:8" ht="12.15" customHeight="1" x14ac:dyDescent="0.25">
      <c r="A62" s="132"/>
      <c r="B62" s="132"/>
      <c r="C62" s="132"/>
      <c r="D62" s="241" t="s">
        <v>760</v>
      </c>
      <c r="E62" s="242"/>
      <c r="F62" s="241"/>
      <c r="G62" s="76">
        <v>2.61</v>
      </c>
      <c r="H62" s="27"/>
    </row>
    <row r="63" spans="1:8" ht="12.15" customHeight="1" x14ac:dyDescent="0.25">
      <c r="A63" s="132"/>
      <c r="B63" s="132"/>
      <c r="C63" s="132"/>
      <c r="D63" s="241" t="s">
        <v>761</v>
      </c>
      <c r="E63" s="242"/>
      <c r="F63" s="241"/>
      <c r="G63" s="76">
        <v>13.19</v>
      </c>
      <c r="H63" s="27"/>
    </row>
    <row r="64" spans="1:8" ht="12.15" customHeight="1" x14ac:dyDescent="0.25">
      <c r="A64" s="132"/>
      <c r="B64" s="132"/>
      <c r="C64" s="132"/>
      <c r="D64" s="241" t="s">
        <v>762</v>
      </c>
      <c r="E64" s="242"/>
      <c r="F64" s="241"/>
      <c r="G64" s="76">
        <v>19.95</v>
      </c>
      <c r="H64" s="27"/>
    </row>
    <row r="65" spans="1:8" x14ac:dyDescent="0.25">
      <c r="A65" s="132" t="s">
        <v>27</v>
      </c>
      <c r="B65" s="132"/>
      <c r="C65" s="132" t="s">
        <v>214</v>
      </c>
      <c r="D65" s="225" t="s">
        <v>431</v>
      </c>
      <c r="E65" s="221"/>
      <c r="F65" s="132" t="s">
        <v>625</v>
      </c>
      <c r="G65" s="77">
        <v>48.73</v>
      </c>
      <c r="H65" s="12">
        <v>0</v>
      </c>
    </row>
    <row r="66" spans="1:8" ht="12.15" customHeight="1" x14ac:dyDescent="0.25">
      <c r="D66" s="241" t="s">
        <v>763</v>
      </c>
      <c r="E66" s="242"/>
      <c r="F66" s="242"/>
      <c r="G66" s="47">
        <v>23.09</v>
      </c>
    </row>
    <row r="67" spans="1:8" ht="12.15" customHeight="1" x14ac:dyDescent="0.25">
      <c r="A67" s="132"/>
      <c r="B67" s="132"/>
      <c r="C67" s="132"/>
      <c r="D67" s="241" t="s">
        <v>764</v>
      </c>
      <c r="E67" s="242"/>
      <c r="F67" s="241"/>
      <c r="G67" s="76">
        <v>25.64</v>
      </c>
      <c r="H67" s="27"/>
    </row>
    <row r="68" spans="1:8" x14ac:dyDescent="0.25">
      <c r="A68" s="132" t="s">
        <v>28</v>
      </c>
      <c r="B68" s="132"/>
      <c r="C68" s="132" t="s">
        <v>215</v>
      </c>
      <c r="D68" s="225" t="s">
        <v>433</v>
      </c>
      <c r="E68" s="221"/>
      <c r="F68" s="132" t="s">
        <v>625</v>
      </c>
      <c r="G68" s="77">
        <v>39.036000000000001</v>
      </c>
      <c r="H68" s="12">
        <v>0</v>
      </c>
    </row>
    <row r="69" spans="1:8" ht="12.15" customHeight="1" x14ac:dyDescent="0.25">
      <c r="D69" s="241" t="s">
        <v>737</v>
      </c>
      <c r="E69" s="242"/>
      <c r="F69" s="242"/>
      <c r="G69" s="47">
        <v>39.036000000000001</v>
      </c>
    </row>
    <row r="70" spans="1:8" x14ac:dyDescent="0.25">
      <c r="A70" s="137" t="s">
        <v>29</v>
      </c>
      <c r="B70" s="137"/>
      <c r="C70" s="137" t="s">
        <v>216</v>
      </c>
      <c r="D70" s="245" t="s">
        <v>434</v>
      </c>
      <c r="E70" s="224"/>
      <c r="F70" s="137" t="s">
        <v>625</v>
      </c>
      <c r="G70" s="77">
        <v>39.036000000000001</v>
      </c>
      <c r="H70" s="111">
        <v>0</v>
      </c>
    </row>
    <row r="71" spans="1:8" ht="12.15" customHeight="1" x14ac:dyDescent="0.25">
      <c r="D71" s="241" t="s">
        <v>737</v>
      </c>
      <c r="E71" s="242"/>
      <c r="F71" s="242"/>
      <c r="G71" s="47">
        <v>39.036000000000001</v>
      </c>
    </row>
    <row r="72" spans="1:8" ht="12.15" customHeight="1" x14ac:dyDescent="0.25">
      <c r="A72" s="136"/>
      <c r="B72" s="136"/>
      <c r="C72" s="136"/>
      <c r="D72" s="243"/>
      <c r="E72" s="244"/>
      <c r="F72" s="243"/>
      <c r="G72" s="110"/>
      <c r="H72" s="91"/>
    </row>
    <row r="73" spans="1:8" ht="12.15" customHeight="1" x14ac:dyDescent="0.25">
      <c r="A73" s="137"/>
      <c r="B73" s="137"/>
      <c r="C73" s="137"/>
      <c r="D73" s="246"/>
      <c r="E73" s="247"/>
      <c r="F73" s="246"/>
      <c r="G73" s="112"/>
      <c r="H73" s="95"/>
    </row>
    <row r="74" spans="1:8" x14ac:dyDescent="0.25">
      <c r="A74" s="132" t="s">
        <v>30</v>
      </c>
      <c r="B74" s="132"/>
      <c r="C74" s="132" t="s">
        <v>217</v>
      </c>
      <c r="D74" s="225" t="s">
        <v>436</v>
      </c>
      <c r="E74" s="221"/>
      <c r="F74" s="132" t="s">
        <v>625</v>
      </c>
      <c r="G74" s="77">
        <v>39.036000000000001</v>
      </c>
      <c r="H74" s="12">
        <v>0</v>
      </c>
    </row>
    <row r="75" spans="1:8" ht="12.15" customHeight="1" x14ac:dyDescent="0.25">
      <c r="D75" s="241" t="s">
        <v>737</v>
      </c>
      <c r="E75" s="242"/>
      <c r="F75" s="242"/>
      <c r="G75" s="47">
        <v>39.036000000000001</v>
      </c>
    </row>
    <row r="76" spans="1:8" x14ac:dyDescent="0.25">
      <c r="A76" s="137" t="s">
        <v>31</v>
      </c>
      <c r="B76" s="137"/>
      <c r="C76" s="137" t="s">
        <v>218</v>
      </c>
      <c r="D76" s="245" t="s">
        <v>438</v>
      </c>
      <c r="E76" s="224"/>
      <c r="F76" s="137" t="s">
        <v>625</v>
      </c>
      <c r="G76" s="92">
        <v>238.73</v>
      </c>
      <c r="H76" s="111">
        <v>0</v>
      </c>
    </row>
    <row r="77" spans="1:8" ht="12.15" customHeight="1" x14ac:dyDescent="0.25">
      <c r="D77" s="241" t="s">
        <v>765</v>
      </c>
      <c r="E77" s="242"/>
      <c r="F77" s="242"/>
      <c r="G77" s="47">
        <v>202.53</v>
      </c>
    </row>
    <row r="78" spans="1:8" ht="12.15" customHeight="1" x14ac:dyDescent="0.25">
      <c r="A78" s="137"/>
      <c r="B78" s="137"/>
      <c r="C78" s="137"/>
      <c r="D78" s="246" t="s">
        <v>766</v>
      </c>
      <c r="E78" s="247"/>
      <c r="F78" s="246"/>
      <c r="G78" s="112">
        <v>36.200000000000003</v>
      </c>
      <c r="H78" s="95"/>
    </row>
    <row r="79" spans="1:8" x14ac:dyDescent="0.25">
      <c r="A79" s="132" t="s">
        <v>32</v>
      </c>
      <c r="B79" s="132"/>
      <c r="C79" s="132" t="s">
        <v>219</v>
      </c>
      <c r="D79" s="225" t="s">
        <v>440</v>
      </c>
      <c r="E79" s="221"/>
      <c r="F79" s="132" t="s">
        <v>625</v>
      </c>
      <c r="G79" s="77">
        <v>39.036000000000001</v>
      </c>
      <c r="H79" s="12">
        <v>0</v>
      </c>
    </row>
    <row r="80" spans="1:8" ht="12.15" customHeight="1" x14ac:dyDescent="0.25">
      <c r="D80" s="241" t="s">
        <v>737</v>
      </c>
      <c r="E80" s="242"/>
      <c r="F80" s="242"/>
      <c r="G80" s="47">
        <v>39.036000000000001</v>
      </c>
    </row>
    <row r="81" spans="1:8" x14ac:dyDescent="0.25">
      <c r="A81" s="132" t="s">
        <v>33</v>
      </c>
      <c r="B81" s="132"/>
      <c r="C81" s="132" t="s">
        <v>220</v>
      </c>
      <c r="D81" s="225" t="s">
        <v>441</v>
      </c>
      <c r="E81" s="221"/>
      <c r="F81" s="132" t="s">
        <v>625</v>
      </c>
      <c r="G81" s="77">
        <v>39.036000000000001</v>
      </c>
      <c r="H81" s="12">
        <v>0</v>
      </c>
    </row>
    <row r="82" spans="1:8" ht="12.15" customHeight="1" x14ac:dyDescent="0.25">
      <c r="D82" s="241" t="s">
        <v>737</v>
      </c>
      <c r="E82" s="242"/>
      <c r="F82" s="242"/>
      <c r="G82" s="47">
        <v>39.036000000000001</v>
      </c>
    </row>
    <row r="83" spans="1:8" x14ac:dyDescent="0.25">
      <c r="A83" s="137" t="s">
        <v>34</v>
      </c>
      <c r="B83" s="137"/>
      <c r="C83" s="137" t="s">
        <v>221</v>
      </c>
      <c r="D83" s="245" t="s">
        <v>442</v>
      </c>
      <c r="E83" s="224"/>
      <c r="F83" s="137" t="s">
        <v>625</v>
      </c>
      <c r="G83" s="92">
        <v>14.4</v>
      </c>
      <c r="H83" s="111">
        <v>0</v>
      </c>
    </row>
    <row r="84" spans="1:8" ht="12.15" customHeight="1" x14ac:dyDescent="0.25">
      <c r="D84" s="241" t="s">
        <v>767</v>
      </c>
      <c r="E84" s="242"/>
      <c r="F84" s="242"/>
      <c r="G84" s="47">
        <v>12</v>
      </c>
    </row>
    <row r="85" spans="1:8" ht="12.15" customHeight="1" x14ac:dyDescent="0.25">
      <c r="A85" s="136"/>
      <c r="B85" s="136"/>
      <c r="C85" s="136"/>
      <c r="D85" s="243" t="s">
        <v>735</v>
      </c>
      <c r="E85" s="244"/>
      <c r="F85" s="243"/>
      <c r="G85" s="110">
        <v>2.4</v>
      </c>
      <c r="H85" s="91"/>
    </row>
    <row r="86" spans="1:8" x14ac:dyDescent="0.25">
      <c r="A86" s="137" t="s">
        <v>36</v>
      </c>
      <c r="B86" s="137"/>
      <c r="C86" s="137" t="s">
        <v>222</v>
      </c>
      <c r="D86" s="276" t="s">
        <v>1120</v>
      </c>
      <c r="E86" s="224"/>
      <c r="F86" s="137" t="s">
        <v>628</v>
      </c>
      <c r="G86" s="92">
        <v>39</v>
      </c>
      <c r="H86" s="111">
        <v>0</v>
      </c>
    </row>
    <row r="87" spans="1:8" ht="12.15" customHeight="1" x14ac:dyDescent="0.25">
      <c r="D87" s="241" t="s">
        <v>768</v>
      </c>
      <c r="E87" s="242"/>
      <c r="F87" s="242"/>
      <c r="G87" s="47">
        <v>39</v>
      </c>
    </row>
    <row r="88" spans="1:8" x14ac:dyDescent="0.25">
      <c r="A88" s="132" t="s">
        <v>37</v>
      </c>
      <c r="B88" s="132"/>
      <c r="C88" s="132" t="s">
        <v>223</v>
      </c>
      <c r="D88" s="225" t="s">
        <v>445</v>
      </c>
      <c r="E88" s="221"/>
      <c r="F88" s="132" t="s">
        <v>629</v>
      </c>
      <c r="G88" s="77">
        <v>67.2</v>
      </c>
      <c r="H88" s="12">
        <v>0</v>
      </c>
    </row>
    <row r="89" spans="1:8" ht="12.15" customHeight="1" x14ac:dyDescent="0.25">
      <c r="D89" s="241" t="s">
        <v>769</v>
      </c>
      <c r="E89" s="242"/>
      <c r="F89" s="242"/>
      <c r="G89" s="47">
        <v>10.119999999999999</v>
      </c>
    </row>
    <row r="90" spans="1:8" ht="12.15" customHeight="1" x14ac:dyDescent="0.25">
      <c r="A90" s="132"/>
      <c r="B90" s="132"/>
      <c r="C90" s="132"/>
      <c r="D90" s="241" t="s">
        <v>770</v>
      </c>
      <c r="E90" s="242"/>
      <c r="F90" s="241"/>
      <c r="G90" s="76">
        <v>9.68</v>
      </c>
      <c r="H90" s="27"/>
    </row>
    <row r="91" spans="1:8" ht="12.15" customHeight="1" x14ac:dyDescent="0.25">
      <c r="A91" s="132"/>
      <c r="B91" s="132"/>
      <c r="C91" s="132"/>
      <c r="D91" s="241" t="s">
        <v>771</v>
      </c>
      <c r="E91" s="242"/>
      <c r="F91" s="241"/>
      <c r="G91" s="76">
        <v>7.2</v>
      </c>
      <c r="H91" s="27"/>
    </row>
    <row r="92" spans="1:8" ht="12.15" customHeight="1" x14ac:dyDescent="0.25">
      <c r="A92" s="132"/>
      <c r="B92" s="132"/>
      <c r="C92" s="132"/>
      <c r="D92" s="241" t="s">
        <v>772</v>
      </c>
      <c r="E92" s="242"/>
      <c r="F92" s="241"/>
      <c r="G92" s="76">
        <v>4.8</v>
      </c>
      <c r="H92" s="27"/>
    </row>
    <row r="93" spans="1:8" ht="12.15" customHeight="1" x14ac:dyDescent="0.25">
      <c r="A93" s="132"/>
      <c r="B93" s="132"/>
      <c r="C93" s="132"/>
      <c r="D93" s="241" t="s">
        <v>773</v>
      </c>
      <c r="E93" s="242"/>
      <c r="F93" s="241"/>
      <c r="G93" s="76">
        <v>19.2</v>
      </c>
      <c r="H93" s="27"/>
    </row>
    <row r="94" spans="1:8" ht="12.15" customHeight="1" x14ac:dyDescent="0.25">
      <c r="A94" s="132"/>
      <c r="B94" s="132"/>
      <c r="C94" s="132"/>
      <c r="D94" s="241" t="s">
        <v>774</v>
      </c>
      <c r="E94" s="242"/>
      <c r="F94" s="241"/>
      <c r="G94" s="76">
        <v>16.2</v>
      </c>
      <c r="H94" s="27"/>
    </row>
    <row r="95" spans="1:8" x14ac:dyDescent="0.25">
      <c r="A95" s="137" t="s">
        <v>38</v>
      </c>
      <c r="B95" s="137"/>
      <c r="C95" s="137" t="s">
        <v>224</v>
      </c>
      <c r="D95" s="245" t="s">
        <v>447</v>
      </c>
      <c r="E95" s="224"/>
      <c r="F95" s="137" t="s">
        <v>625</v>
      </c>
      <c r="G95" s="92">
        <v>309.47199999999998</v>
      </c>
      <c r="H95" s="111">
        <v>0</v>
      </c>
    </row>
    <row r="96" spans="1:8" ht="12.15" customHeight="1" x14ac:dyDescent="0.25">
      <c r="D96" s="241" t="s">
        <v>775</v>
      </c>
      <c r="E96" s="242"/>
      <c r="F96" s="242"/>
      <c r="G96" s="47">
        <v>43.77</v>
      </c>
    </row>
    <row r="97" spans="1:8" ht="12.15" customHeight="1" x14ac:dyDescent="0.25">
      <c r="A97" s="136"/>
      <c r="B97" s="136"/>
      <c r="C97" s="136"/>
      <c r="D97" s="243" t="s">
        <v>776</v>
      </c>
      <c r="E97" s="244"/>
      <c r="F97" s="243"/>
      <c r="G97" s="110">
        <v>58.41</v>
      </c>
      <c r="H97" s="91"/>
    </row>
    <row r="98" spans="1:8" ht="12.15" customHeight="1" x14ac:dyDescent="0.25">
      <c r="A98" s="136"/>
      <c r="B98" s="136"/>
      <c r="C98" s="136"/>
      <c r="D98" s="243" t="s">
        <v>777</v>
      </c>
      <c r="E98" s="244"/>
      <c r="F98" s="243"/>
      <c r="G98" s="110">
        <v>7.83</v>
      </c>
      <c r="H98" s="91"/>
    </row>
    <row r="99" spans="1:8" ht="12.15" customHeight="1" x14ac:dyDescent="0.25">
      <c r="A99" s="136"/>
      <c r="B99" s="136"/>
      <c r="C99" s="136"/>
      <c r="D99" s="243" t="s">
        <v>778</v>
      </c>
      <c r="E99" s="244"/>
      <c r="F99" s="243"/>
      <c r="G99" s="110">
        <v>59.85</v>
      </c>
      <c r="H99" s="91"/>
    </row>
    <row r="100" spans="1:8" ht="12.15" customHeight="1" x14ac:dyDescent="0.25">
      <c r="A100" s="136"/>
      <c r="B100" s="136"/>
      <c r="C100" s="136"/>
      <c r="D100" s="243" t="s">
        <v>779</v>
      </c>
      <c r="E100" s="244"/>
      <c r="F100" s="243"/>
      <c r="G100" s="110">
        <v>66.153000000000006</v>
      </c>
      <c r="H100" s="91"/>
    </row>
    <row r="101" spans="1:8" ht="12.15" customHeight="1" x14ac:dyDescent="0.25">
      <c r="A101" s="137"/>
      <c r="B101" s="137"/>
      <c r="C101" s="137"/>
      <c r="D101" s="246" t="s">
        <v>780</v>
      </c>
      <c r="E101" s="247"/>
      <c r="F101" s="246"/>
      <c r="G101" s="112">
        <v>73.459000000000003</v>
      </c>
      <c r="H101" s="95"/>
    </row>
    <row r="102" spans="1:8" x14ac:dyDescent="0.25">
      <c r="A102" s="132" t="s">
        <v>39</v>
      </c>
      <c r="B102" s="132"/>
      <c r="C102" s="132" t="s">
        <v>225</v>
      </c>
      <c r="D102" s="225" t="s">
        <v>448</v>
      </c>
      <c r="E102" s="221"/>
      <c r="F102" s="132" t="s">
        <v>629</v>
      </c>
      <c r="G102" s="77">
        <v>38.32</v>
      </c>
      <c r="H102" s="12">
        <v>0</v>
      </c>
    </row>
    <row r="103" spans="1:8" ht="12.15" customHeight="1" x14ac:dyDescent="0.25">
      <c r="D103" s="241" t="s">
        <v>769</v>
      </c>
      <c r="E103" s="242"/>
      <c r="F103" s="242"/>
      <c r="G103" s="47">
        <v>10.119999999999999</v>
      </c>
    </row>
    <row r="104" spans="1:8" ht="12.15" customHeight="1" x14ac:dyDescent="0.25">
      <c r="A104" s="132"/>
      <c r="B104" s="132"/>
      <c r="C104" s="132"/>
      <c r="D104" s="241" t="s">
        <v>771</v>
      </c>
      <c r="E104" s="242"/>
      <c r="F104" s="241"/>
      <c r="G104" s="76">
        <v>7.2</v>
      </c>
      <c r="H104" s="27"/>
    </row>
    <row r="105" spans="1:8" ht="12.15" customHeight="1" x14ac:dyDescent="0.25">
      <c r="A105" s="132"/>
      <c r="B105" s="132"/>
      <c r="C105" s="132"/>
      <c r="D105" s="241" t="s">
        <v>772</v>
      </c>
      <c r="E105" s="242"/>
      <c r="F105" s="241"/>
      <c r="G105" s="76">
        <v>4.8</v>
      </c>
      <c r="H105" s="27"/>
    </row>
    <row r="106" spans="1:8" ht="12.15" customHeight="1" x14ac:dyDescent="0.25">
      <c r="A106" s="132"/>
      <c r="B106" s="132"/>
      <c r="C106" s="132"/>
      <c r="D106" s="241" t="s">
        <v>774</v>
      </c>
      <c r="E106" s="242"/>
      <c r="F106" s="241"/>
      <c r="G106" s="76">
        <v>16.2</v>
      </c>
      <c r="H106" s="27"/>
    </row>
    <row r="107" spans="1:8" x14ac:dyDescent="0.25">
      <c r="A107" s="132" t="s">
        <v>40</v>
      </c>
      <c r="B107" s="132"/>
      <c r="C107" s="132" t="s">
        <v>226</v>
      </c>
      <c r="D107" s="225" t="s">
        <v>449</v>
      </c>
      <c r="E107" s="221"/>
      <c r="F107" s="132" t="s">
        <v>625</v>
      </c>
      <c r="G107" s="77">
        <v>12.25</v>
      </c>
      <c r="H107" s="12">
        <v>0</v>
      </c>
    </row>
    <row r="108" spans="1:8" ht="12.15" customHeight="1" x14ac:dyDescent="0.25">
      <c r="D108" s="241" t="s">
        <v>781</v>
      </c>
      <c r="E108" s="242"/>
      <c r="F108" s="242"/>
      <c r="G108" s="47">
        <v>4.0599999999999996</v>
      </c>
    </row>
    <row r="109" spans="1:8" ht="12.15" customHeight="1" x14ac:dyDescent="0.25">
      <c r="A109" s="132"/>
      <c r="B109" s="132"/>
      <c r="C109" s="132"/>
      <c r="D109" s="241" t="s">
        <v>782</v>
      </c>
      <c r="E109" s="242"/>
      <c r="F109" s="241"/>
      <c r="G109" s="76">
        <v>1.44</v>
      </c>
      <c r="H109" s="27"/>
    </row>
    <row r="110" spans="1:8" ht="12.15" customHeight="1" x14ac:dyDescent="0.25">
      <c r="A110" s="132"/>
      <c r="B110" s="132"/>
      <c r="C110" s="132"/>
      <c r="D110" s="241" t="s">
        <v>783</v>
      </c>
      <c r="E110" s="242"/>
      <c r="F110" s="241"/>
      <c r="G110" s="76">
        <v>1.35</v>
      </c>
      <c r="H110" s="27"/>
    </row>
    <row r="111" spans="1:8" ht="12.15" customHeight="1" x14ac:dyDescent="0.25">
      <c r="A111" s="132"/>
      <c r="B111" s="132"/>
      <c r="C111" s="132"/>
      <c r="D111" s="241" t="s">
        <v>784</v>
      </c>
      <c r="E111" s="242"/>
      <c r="F111" s="241"/>
      <c r="G111" s="76">
        <v>5.4</v>
      </c>
      <c r="H111" s="27"/>
    </row>
    <row r="112" spans="1:8" x14ac:dyDescent="0.25">
      <c r="A112" s="132" t="s">
        <v>41</v>
      </c>
      <c r="B112" s="132"/>
      <c r="C112" s="132" t="s">
        <v>227</v>
      </c>
      <c r="D112" s="225" t="s">
        <v>451</v>
      </c>
      <c r="E112" s="221"/>
      <c r="F112" s="132" t="s">
        <v>625</v>
      </c>
      <c r="G112" s="77">
        <v>175.56</v>
      </c>
      <c r="H112" s="12">
        <v>0</v>
      </c>
    </row>
    <row r="113" spans="1:8" ht="12.15" customHeight="1" x14ac:dyDescent="0.25">
      <c r="D113" s="241" t="s">
        <v>785</v>
      </c>
      <c r="E113" s="242"/>
      <c r="F113" s="242"/>
      <c r="G113" s="47">
        <v>134.30000000000001</v>
      </c>
    </row>
    <row r="114" spans="1:8" ht="12.15" customHeight="1" x14ac:dyDescent="0.25">
      <c r="A114" s="132"/>
      <c r="B114" s="132"/>
      <c r="C114" s="132"/>
      <c r="D114" s="241" t="s">
        <v>786</v>
      </c>
      <c r="E114" s="242"/>
      <c r="F114" s="241"/>
      <c r="G114" s="76">
        <v>12.5</v>
      </c>
      <c r="H114" s="27"/>
    </row>
    <row r="115" spans="1:8" ht="12.15" customHeight="1" x14ac:dyDescent="0.25">
      <c r="A115" s="132"/>
      <c r="B115" s="132"/>
      <c r="C115" s="132"/>
      <c r="D115" s="241" t="s">
        <v>787</v>
      </c>
      <c r="E115" s="242"/>
      <c r="F115" s="241"/>
      <c r="G115" s="76">
        <v>5.0599999999999996</v>
      </c>
      <c r="H115" s="27"/>
    </row>
    <row r="116" spans="1:8" ht="12.15" customHeight="1" x14ac:dyDescent="0.25">
      <c r="A116" s="132"/>
      <c r="B116" s="132"/>
      <c r="C116" s="132"/>
      <c r="D116" s="241" t="s">
        <v>788</v>
      </c>
      <c r="E116" s="242"/>
      <c r="F116" s="241"/>
      <c r="G116" s="76">
        <v>3.6</v>
      </c>
      <c r="H116" s="27"/>
    </row>
    <row r="117" spans="1:8" ht="12.15" customHeight="1" x14ac:dyDescent="0.25">
      <c r="A117" s="132"/>
      <c r="B117" s="132"/>
      <c r="C117" s="132"/>
      <c r="D117" s="241" t="s">
        <v>789</v>
      </c>
      <c r="E117" s="242"/>
      <c r="F117" s="241"/>
      <c r="G117" s="76">
        <v>2.4</v>
      </c>
      <c r="H117" s="27"/>
    </row>
    <row r="118" spans="1:8" ht="12.15" customHeight="1" x14ac:dyDescent="0.25">
      <c r="A118" s="132"/>
      <c r="B118" s="132"/>
      <c r="C118" s="132"/>
      <c r="D118" s="241" t="s">
        <v>790</v>
      </c>
      <c r="E118" s="242"/>
      <c r="F118" s="241"/>
      <c r="G118" s="76">
        <v>9.6</v>
      </c>
      <c r="H118" s="27"/>
    </row>
    <row r="119" spans="1:8" ht="12.15" customHeight="1" x14ac:dyDescent="0.25">
      <c r="A119" s="132"/>
      <c r="B119" s="132"/>
      <c r="C119" s="132"/>
      <c r="D119" s="241" t="s">
        <v>791</v>
      </c>
      <c r="E119" s="242"/>
      <c r="F119" s="241"/>
      <c r="G119" s="76">
        <v>8.1</v>
      </c>
      <c r="H119" s="27"/>
    </row>
    <row r="120" spans="1:8" x14ac:dyDescent="0.25">
      <c r="A120" s="132" t="s">
        <v>42</v>
      </c>
      <c r="B120" s="132"/>
      <c r="C120" s="132" t="s">
        <v>228</v>
      </c>
      <c r="D120" s="275" t="s">
        <v>1121</v>
      </c>
      <c r="E120" s="221"/>
      <c r="F120" s="132" t="s">
        <v>625</v>
      </c>
      <c r="G120" s="77">
        <v>135.05600000000001</v>
      </c>
      <c r="H120" s="12">
        <v>0</v>
      </c>
    </row>
    <row r="121" spans="1:8" ht="12.15" customHeight="1" x14ac:dyDescent="0.25">
      <c r="D121" s="241" t="s">
        <v>792</v>
      </c>
      <c r="E121" s="242"/>
      <c r="F121" s="242"/>
      <c r="G121" s="47">
        <v>123.556</v>
      </c>
    </row>
    <row r="122" spans="1:8" ht="12.15" customHeight="1" x14ac:dyDescent="0.25">
      <c r="A122" s="132"/>
      <c r="B122" s="132"/>
      <c r="C122" s="132"/>
      <c r="D122" s="241" t="s">
        <v>793</v>
      </c>
      <c r="E122" s="242"/>
      <c r="F122" s="241"/>
      <c r="G122" s="76">
        <v>11.5</v>
      </c>
      <c r="H122" s="27"/>
    </row>
    <row r="123" spans="1:8" ht="12.15" customHeight="1" x14ac:dyDescent="0.25">
      <c r="A123" s="132"/>
      <c r="B123" s="132"/>
      <c r="C123" s="132"/>
      <c r="D123" s="241" t="s">
        <v>794</v>
      </c>
      <c r="E123" s="242"/>
      <c r="F123" s="241"/>
      <c r="G123" s="76">
        <v>0</v>
      </c>
      <c r="H123" s="27"/>
    </row>
    <row r="124" spans="1:8" x14ac:dyDescent="0.25">
      <c r="A124" s="132" t="s">
        <v>43</v>
      </c>
      <c r="B124" s="132"/>
      <c r="C124" s="132" t="s">
        <v>229</v>
      </c>
      <c r="D124" s="275" t="s">
        <v>1123</v>
      </c>
      <c r="E124" s="221"/>
      <c r="F124" s="132" t="s">
        <v>625</v>
      </c>
      <c r="G124" s="77">
        <v>24.704000000000001</v>
      </c>
      <c r="H124" s="12">
        <v>0</v>
      </c>
    </row>
    <row r="125" spans="1:8" ht="12.15" customHeight="1" x14ac:dyDescent="0.25">
      <c r="D125" s="241" t="s">
        <v>795</v>
      </c>
      <c r="E125" s="242"/>
      <c r="F125" s="242"/>
      <c r="G125" s="47">
        <v>10.744</v>
      </c>
    </row>
    <row r="126" spans="1:8" ht="12.15" customHeight="1" x14ac:dyDescent="0.25">
      <c r="A126" s="132"/>
      <c r="B126" s="132"/>
      <c r="C126" s="132"/>
      <c r="D126" s="241" t="s">
        <v>796</v>
      </c>
      <c r="E126" s="242"/>
      <c r="F126" s="241"/>
      <c r="G126" s="76">
        <v>1</v>
      </c>
      <c r="H126" s="27"/>
    </row>
    <row r="127" spans="1:8" ht="12.15" customHeight="1" x14ac:dyDescent="0.25">
      <c r="A127" s="132"/>
      <c r="B127" s="132"/>
      <c r="C127" s="132"/>
      <c r="D127" s="241" t="s">
        <v>797</v>
      </c>
      <c r="E127" s="242"/>
      <c r="F127" s="241"/>
      <c r="G127" s="76">
        <v>12.96</v>
      </c>
      <c r="H127" s="27"/>
    </row>
    <row r="128" spans="1:8" x14ac:dyDescent="0.25">
      <c r="A128" s="132" t="s">
        <v>44</v>
      </c>
      <c r="B128" s="132"/>
      <c r="C128" s="132" t="s">
        <v>230</v>
      </c>
      <c r="D128" s="225" t="s">
        <v>452</v>
      </c>
      <c r="E128" s="221"/>
      <c r="F128" s="132" t="s">
        <v>629</v>
      </c>
      <c r="G128" s="77">
        <v>38.32</v>
      </c>
      <c r="H128" s="12">
        <v>0</v>
      </c>
    </row>
    <row r="129" spans="1:8" ht="12.15" customHeight="1" x14ac:dyDescent="0.25">
      <c r="D129" s="241" t="s">
        <v>769</v>
      </c>
      <c r="E129" s="242"/>
      <c r="F129" s="242"/>
      <c r="G129" s="47">
        <v>10.119999999999999</v>
      </c>
    </row>
    <row r="130" spans="1:8" ht="12.15" customHeight="1" x14ac:dyDescent="0.25">
      <c r="A130" s="132"/>
      <c r="B130" s="132"/>
      <c r="C130" s="132"/>
      <c r="D130" s="241" t="s">
        <v>771</v>
      </c>
      <c r="E130" s="242"/>
      <c r="F130" s="241"/>
      <c r="G130" s="76">
        <v>7.2</v>
      </c>
      <c r="H130" s="27"/>
    </row>
    <row r="131" spans="1:8" ht="12.15" customHeight="1" x14ac:dyDescent="0.25">
      <c r="A131" s="132"/>
      <c r="B131" s="132"/>
      <c r="C131" s="132"/>
      <c r="D131" s="241" t="s">
        <v>772</v>
      </c>
      <c r="E131" s="242"/>
      <c r="F131" s="241"/>
      <c r="G131" s="76">
        <v>4.8</v>
      </c>
      <c r="H131" s="27"/>
    </row>
    <row r="132" spans="1:8" ht="12.15" customHeight="1" x14ac:dyDescent="0.25">
      <c r="A132" s="132"/>
      <c r="B132" s="132"/>
      <c r="C132" s="132"/>
      <c r="D132" s="241" t="s">
        <v>774</v>
      </c>
      <c r="E132" s="242"/>
      <c r="F132" s="241"/>
      <c r="G132" s="76">
        <v>16.2</v>
      </c>
      <c r="H132" s="27"/>
    </row>
    <row r="133" spans="1:8" x14ac:dyDescent="0.25">
      <c r="A133" s="132" t="s">
        <v>45</v>
      </c>
      <c r="B133" s="132"/>
      <c r="C133" s="132" t="s">
        <v>231</v>
      </c>
      <c r="D133" s="225" t="s">
        <v>453</v>
      </c>
      <c r="E133" s="221"/>
      <c r="F133" s="132" t="s">
        <v>625</v>
      </c>
      <c r="G133" s="77">
        <v>12.25</v>
      </c>
      <c r="H133" s="12">
        <v>0</v>
      </c>
    </row>
    <row r="134" spans="1:8" ht="12.15" customHeight="1" x14ac:dyDescent="0.25">
      <c r="D134" s="241" t="s">
        <v>781</v>
      </c>
      <c r="E134" s="242"/>
      <c r="F134" s="242"/>
      <c r="G134" s="47">
        <v>4.0599999999999996</v>
      </c>
    </row>
    <row r="135" spans="1:8" ht="12.15" customHeight="1" x14ac:dyDescent="0.25">
      <c r="A135" s="132"/>
      <c r="B135" s="132"/>
      <c r="C135" s="132"/>
      <c r="D135" s="241" t="s">
        <v>782</v>
      </c>
      <c r="E135" s="242"/>
      <c r="F135" s="241"/>
      <c r="G135" s="76">
        <v>1.44</v>
      </c>
      <c r="H135" s="27"/>
    </row>
    <row r="136" spans="1:8" ht="12.15" customHeight="1" x14ac:dyDescent="0.25">
      <c r="A136" s="132"/>
      <c r="B136" s="132"/>
      <c r="C136" s="132"/>
      <c r="D136" s="241" t="s">
        <v>783</v>
      </c>
      <c r="E136" s="242"/>
      <c r="F136" s="241"/>
      <c r="G136" s="76">
        <v>1.35</v>
      </c>
      <c r="H136" s="27"/>
    </row>
    <row r="137" spans="1:8" ht="12.15" customHeight="1" x14ac:dyDescent="0.25">
      <c r="A137" s="132"/>
      <c r="B137" s="132"/>
      <c r="C137" s="132"/>
      <c r="D137" s="241" t="s">
        <v>784</v>
      </c>
      <c r="E137" s="242"/>
      <c r="F137" s="241"/>
      <c r="G137" s="76">
        <v>5.4</v>
      </c>
      <c r="H137" s="27"/>
    </row>
    <row r="138" spans="1:8" x14ac:dyDescent="0.25">
      <c r="A138" s="137" t="s">
        <v>46</v>
      </c>
      <c r="B138" s="137"/>
      <c r="C138" s="137" t="s">
        <v>232</v>
      </c>
      <c r="D138" s="245" t="s">
        <v>455</v>
      </c>
      <c r="E138" s="224"/>
      <c r="F138" s="137" t="s">
        <v>626</v>
      </c>
      <c r="G138" s="92">
        <v>1.319</v>
      </c>
      <c r="H138" s="111">
        <v>0</v>
      </c>
    </row>
    <row r="139" spans="1:8" ht="12.15" customHeight="1" x14ac:dyDescent="0.25">
      <c r="D139" s="241" t="s">
        <v>798</v>
      </c>
      <c r="E139" s="242"/>
      <c r="F139" s="242"/>
      <c r="G139" s="47">
        <v>1.319</v>
      </c>
    </row>
    <row r="140" spans="1:8" x14ac:dyDescent="0.25">
      <c r="A140" s="137" t="s">
        <v>47</v>
      </c>
      <c r="B140" s="137"/>
      <c r="C140" s="137" t="s">
        <v>233</v>
      </c>
      <c r="D140" s="245" t="s">
        <v>456</v>
      </c>
      <c r="E140" s="224"/>
      <c r="F140" s="137" t="s">
        <v>627</v>
      </c>
      <c r="G140" s="92">
        <v>5.8000000000000003E-2</v>
      </c>
      <c r="H140" s="111">
        <v>0</v>
      </c>
    </row>
    <row r="141" spans="1:8" ht="12.15" customHeight="1" x14ac:dyDescent="0.25">
      <c r="D141" s="241" t="s">
        <v>799</v>
      </c>
      <c r="E141" s="242"/>
      <c r="F141" s="242"/>
      <c r="G141" s="47">
        <v>5.8000000000000003E-2</v>
      </c>
    </row>
    <row r="142" spans="1:8" x14ac:dyDescent="0.25">
      <c r="A142" s="137" t="s">
        <v>48</v>
      </c>
      <c r="B142" s="137"/>
      <c r="C142" s="137" t="s">
        <v>234</v>
      </c>
      <c r="D142" s="245" t="s">
        <v>458</v>
      </c>
      <c r="E142" s="224"/>
      <c r="F142" s="137" t="s">
        <v>629</v>
      </c>
      <c r="G142" s="92">
        <v>14.59</v>
      </c>
      <c r="H142" s="111">
        <v>0</v>
      </c>
    </row>
    <row r="143" spans="1:8" ht="12.15" customHeight="1" x14ac:dyDescent="0.25">
      <c r="D143" s="241" t="s">
        <v>800</v>
      </c>
      <c r="E143" s="242"/>
      <c r="F143" s="242"/>
      <c r="G143" s="47">
        <v>14.59</v>
      </c>
    </row>
    <row r="144" spans="1:8" x14ac:dyDescent="0.25">
      <c r="A144" s="132" t="s">
        <v>49</v>
      </c>
      <c r="B144" s="132"/>
      <c r="C144" s="132" t="s">
        <v>235</v>
      </c>
      <c r="D144" s="225" t="s">
        <v>460</v>
      </c>
      <c r="E144" s="221"/>
      <c r="F144" s="132" t="s">
        <v>629</v>
      </c>
      <c r="G144" s="77">
        <v>6.9</v>
      </c>
      <c r="H144" s="12">
        <v>0</v>
      </c>
    </row>
    <row r="145" spans="1:8" ht="12.15" customHeight="1" x14ac:dyDescent="0.25">
      <c r="D145" s="241" t="s">
        <v>801</v>
      </c>
      <c r="E145" s="242"/>
      <c r="F145" s="242"/>
      <c r="G145" s="47">
        <v>2.4</v>
      </c>
    </row>
    <row r="146" spans="1:8" ht="12.15" customHeight="1" x14ac:dyDescent="0.25">
      <c r="A146" s="132"/>
      <c r="B146" s="132"/>
      <c r="C146" s="132"/>
      <c r="D146" s="241" t="s">
        <v>802</v>
      </c>
      <c r="E146" s="242"/>
      <c r="F146" s="241"/>
      <c r="G146" s="76">
        <v>0.9</v>
      </c>
      <c r="H146" s="27"/>
    </row>
    <row r="147" spans="1:8" ht="12.15" customHeight="1" x14ac:dyDescent="0.25">
      <c r="A147" s="132"/>
      <c r="B147" s="132"/>
      <c r="C147" s="132"/>
      <c r="D147" s="241" t="s">
        <v>803</v>
      </c>
      <c r="E147" s="242"/>
      <c r="F147" s="241"/>
      <c r="G147" s="76">
        <v>3.6</v>
      </c>
      <c r="H147" s="27"/>
    </row>
    <row r="148" spans="1:8" x14ac:dyDescent="0.25">
      <c r="A148" s="137" t="s">
        <v>50</v>
      </c>
      <c r="B148" s="137"/>
      <c r="C148" s="137" t="s">
        <v>237</v>
      </c>
      <c r="D148" s="245" t="s">
        <v>463</v>
      </c>
      <c r="E148" s="224"/>
      <c r="F148" s="137" t="s">
        <v>625</v>
      </c>
      <c r="G148" s="92">
        <v>14.69</v>
      </c>
      <c r="H148" s="111">
        <v>0</v>
      </c>
    </row>
    <row r="149" spans="1:8" ht="12.15" customHeight="1" x14ac:dyDescent="0.25">
      <c r="D149" s="241" t="s">
        <v>761</v>
      </c>
      <c r="E149" s="242"/>
      <c r="F149" s="242"/>
      <c r="G149" s="47">
        <v>13.19</v>
      </c>
    </row>
    <row r="150" spans="1:8" ht="12.15" customHeight="1" x14ac:dyDescent="0.25">
      <c r="A150" s="136"/>
      <c r="B150" s="136"/>
      <c r="C150" s="136"/>
      <c r="D150" s="243" t="s">
        <v>804</v>
      </c>
      <c r="E150" s="244"/>
      <c r="F150" s="243"/>
      <c r="G150" s="110">
        <v>1.5</v>
      </c>
      <c r="H150" s="91"/>
    </row>
    <row r="151" spans="1:8" x14ac:dyDescent="0.25">
      <c r="A151" s="137" t="s">
        <v>51</v>
      </c>
      <c r="B151" s="137"/>
      <c r="C151" s="137" t="s">
        <v>238</v>
      </c>
      <c r="D151" s="245" t="s">
        <v>465</v>
      </c>
      <c r="E151" s="224"/>
      <c r="F151" s="137" t="s">
        <v>625</v>
      </c>
      <c r="G151" s="92">
        <v>14.69</v>
      </c>
      <c r="H151" s="111">
        <v>0</v>
      </c>
    </row>
    <row r="152" spans="1:8" ht="12.15" customHeight="1" x14ac:dyDescent="0.25">
      <c r="D152" s="241" t="s">
        <v>761</v>
      </c>
      <c r="E152" s="242"/>
      <c r="F152" s="242"/>
      <c r="G152" s="47">
        <v>13.19</v>
      </c>
    </row>
    <row r="153" spans="1:8" ht="12.15" customHeight="1" x14ac:dyDescent="0.25">
      <c r="A153" s="136"/>
      <c r="B153" s="136"/>
      <c r="C153" s="136"/>
      <c r="D153" s="243" t="s">
        <v>804</v>
      </c>
      <c r="E153" s="244"/>
      <c r="F153" s="243"/>
      <c r="G153" s="110">
        <v>1.5</v>
      </c>
      <c r="H153" s="91"/>
    </row>
    <row r="154" spans="1:8" x14ac:dyDescent="0.25">
      <c r="A154" s="137" t="s">
        <v>52</v>
      </c>
      <c r="B154" s="137"/>
      <c r="C154" s="137" t="s">
        <v>239</v>
      </c>
      <c r="D154" s="245" t="s">
        <v>467</v>
      </c>
      <c r="E154" s="224"/>
      <c r="F154" s="137" t="s">
        <v>627</v>
      </c>
      <c r="G154" s="92">
        <v>7.5999999999999998E-2</v>
      </c>
      <c r="H154" s="111">
        <v>0</v>
      </c>
    </row>
    <row r="155" spans="1:8" x14ac:dyDescent="0.25">
      <c r="A155" s="132" t="s">
        <v>53</v>
      </c>
      <c r="B155" s="132"/>
      <c r="C155" s="132" t="s">
        <v>241</v>
      </c>
      <c r="D155" s="225" t="s">
        <v>469</v>
      </c>
      <c r="E155" s="221"/>
      <c r="F155" s="132" t="s">
        <v>625</v>
      </c>
      <c r="G155" s="77">
        <v>247.63</v>
      </c>
      <c r="H155" s="12">
        <v>0</v>
      </c>
    </row>
    <row r="156" spans="1:8" ht="12.15" customHeight="1" x14ac:dyDescent="0.25">
      <c r="D156" s="241" t="s">
        <v>805</v>
      </c>
      <c r="E156" s="242"/>
      <c r="F156" s="242"/>
      <c r="G156" s="47">
        <v>77.38</v>
      </c>
    </row>
    <row r="157" spans="1:8" ht="12.15" customHeight="1" x14ac:dyDescent="0.25">
      <c r="A157" s="132"/>
      <c r="B157" s="132"/>
      <c r="C157" s="132"/>
      <c r="D157" s="241" t="s">
        <v>806</v>
      </c>
      <c r="E157" s="242"/>
      <c r="F157" s="241"/>
      <c r="G157" s="76">
        <v>66.3</v>
      </c>
      <c r="H157" s="27"/>
    </row>
    <row r="158" spans="1:8" ht="12.15" customHeight="1" x14ac:dyDescent="0.25">
      <c r="A158" s="132"/>
      <c r="B158" s="132"/>
      <c r="C158" s="132"/>
      <c r="D158" s="241" t="s">
        <v>807</v>
      </c>
      <c r="E158" s="242"/>
      <c r="F158" s="241"/>
      <c r="G158" s="76">
        <v>19.47</v>
      </c>
      <c r="H158" s="27"/>
    </row>
    <row r="159" spans="1:8" ht="12.15" customHeight="1" x14ac:dyDescent="0.25">
      <c r="A159" s="132"/>
      <c r="B159" s="132"/>
      <c r="C159" s="132"/>
      <c r="D159" s="241" t="s">
        <v>760</v>
      </c>
      <c r="E159" s="242"/>
      <c r="F159" s="241"/>
      <c r="G159" s="76">
        <v>2.61</v>
      </c>
      <c r="H159" s="27"/>
    </row>
    <row r="160" spans="1:8" ht="12.15" customHeight="1" x14ac:dyDescent="0.25">
      <c r="A160" s="132"/>
      <c r="B160" s="132"/>
      <c r="C160" s="132"/>
      <c r="D160" s="241" t="s">
        <v>761</v>
      </c>
      <c r="E160" s="242"/>
      <c r="F160" s="241"/>
      <c r="G160" s="76">
        <v>13.19</v>
      </c>
      <c r="H160" s="27"/>
    </row>
    <row r="161" spans="1:8" ht="12.15" customHeight="1" x14ac:dyDescent="0.25">
      <c r="A161" s="132"/>
      <c r="B161" s="132"/>
      <c r="C161" s="132"/>
      <c r="D161" s="241" t="s">
        <v>762</v>
      </c>
      <c r="E161" s="242"/>
      <c r="F161" s="241"/>
      <c r="G161" s="76">
        <v>19.95</v>
      </c>
      <c r="H161" s="27"/>
    </row>
    <row r="162" spans="1:8" ht="12.15" customHeight="1" x14ac:dyDescent="0.25">
      <c r="A162" s="132"/>
      <c r="B162" s="132"/>
      <c r="C162" s="132"/>
      <c r="D162" s="241" t="s">
        <v>763</v>
      </c>
      <c r="E162" s="242"/>
      <c r="F162" s="241"/>
      <c r="G162" s="76">
        <v>23.09</v>
      </c>
      <c r="H162" s="27"/>
    </row>
    <row r="163" spans="1:8" ht="12.15" customHeight="1" x14ac:dyDescent="0.25">
      <c r="A163" s="132"/>
      <c r="B163" s="132"/>
      <c r="C163" s="132"/>
      <c r="D163" s="241" t="s">
        <v>764</v>
      </c>
      <c r="E163" s="242"/>
      <c r="F163" s="241"/>
      <c r="G163" s="76">
        <v>25.64</v>
      </c>
      <c r="H163" s="27"/>
    </row>
    <row r="164" spans="1:8" x14ac:dyDescent="0.25">
      <c r="A164" s="132" t="s">
        <v>54</v>
      </c>
      <c r="B164" s="132"/>
      <c r="C164" s="132" t="s">
        <v>242</v>
      </c>
      <c r="D164" s="225" t="s">
        <v>471</v>
      </c>
      <c r="E164" s="221"/>
      <c r="F164" s="132" t="s">
        <v>627</v>
      </c>
      <c r="G164" s="77">
        <v>1.486</v>
      </c>
      <c r="H164" s="12">
        <v>0</v>
      </c>
    </row>
    <row r="165" spans="1:8" x14ac:dyDescent="0.25">
      <c r="A165" s="132" t="s">
        <v>55</v>
      </c>
      <c r="B165" s="132"/>
      <c r="C165" s="132" t="s">
        <v>244</v>
      </c>
      <c r="D165" s="225" t="s">
        <v>473</v>
      </c>
      <c r="E165" s="221"/>
      <c r="F165" s="132" t="s">
        <v>625</v>
      </c>
      <c r="G165" s="77">
        <v>103.95</v>
      </c>
      <c r="H165" s="12">
        <v>0</v>
      </c>
    </row>
    <row r="166" spans="1:8" ht="12.15" customHeight="1" x14ac:dyDescent="0.25">
      <c r="D166" s="241" t="s">
        <v>807</v>
      </c>
      <c r="E166" s="242"/>
      <c r="F166" s="242"/>
      <c r="G166" s="47">
        <v>19.47</v>
      </c>
    </row>
    <row r="167" spans="1:8" ht="12.15" customHeight="1" x14ac:dyDescent="0.25">
      <c r="A167" s="132"/>
      <c r="B167" s="132"/>
      <c r="C167" s="132"/>
      <c r="D167" s="241" t="s">
        <v>760</v>
      </c>
      <c r="E167" s="242"/>
      <c r="F167" s="241"/>
      <c r="G167" s="76">
        <v>2.61</v>
      </c>
      <c r="H167" s="27"/>
    </row>
    <row r="168" spans="1:8" ht="12.15" customHeight="1" x14ac:dyDescent="0.25">
      <c r="A168" s="132"/>
      <c r="B168" s="132"/>
      <c r="C168" s="132"/>
      <c r="D168" s="241" t="s">
        <v>761</v>
      </c>
      <c r="E168" s="242"/>
      <c r="F168" s="241"/>
      <c r="G168" s="76">
        <v>13.19</v>
      </c>
      <c r="H168" s="27"/>
    </row>
    <row r="169" spans="1:8" ht="12.15" customHeight="1" x14ac:dyDescent="0.25">
      <c r="A169" s="132"/>
      <c r="B169" s="132"/>
      <c r="C169" s="132"/>
      <c r="D169" s="241" t="s">
        <v>762</v>
      </c>
      <c r="E169" s="242"/>
      <c r="F169" s="241"/>
      <c r="G169" s="76">
        <v>19.95</v>
      </c>
      <c r="H169" s="27"/>
    </row>
    <row r="170" spans="1:8" ht="12.15" customHeight="1" x14ac:dyDescent="0.25">
      <c r="A170" s="132"/>
      <c r="B170" s="132"/>
      <c r="C170" s="132"/>
      <c r="D170" s="241" t="s">
        <v>763</v>
      </c>
      <c r="E170" s="242"/>
      <c r="F170" s="241"/>
      <c r="G170" s="76">
        <v>23.09</v>
      </c>
      <c r="H170" s="27"/>
    </row>
    <row r="171" spans="1:8" ht="12.15" customHeight="1" x14ac:dyDescent="0.25">
      <c r="A171" s="132"/>
      <c r="B171" s="132"/>
      <c r="C171" s="132"/>
      <c r="D171" s="241" t="s">
        <v>764</v>
      </c>
      <c r="E171" s="242"/>
      <c r="F171" s="241"/>
      <c r="G171" s="76">
        <v>25.64</v>
      </c>
      <c r="H171" s="27"/>
    </row>
    <row r="172" spans="1:8" x14ac:dyDescent="0.25">
      <c r="A172" s="132" t="s">
        <v>56</v>
      </c>
      <c r="B172" s="132"/>
      <c r="C172" s="132" t="s">
        <v>245</v>
      </c>
      <c r="D172" s="225" t="s">
        <v>474</v>
      </c>
      <c r="E172" s="221"/>
      <c r="F172" s="132" t="s">
        <v>625</v>
      </c>
      <c r="G172" s="77">
        <v>103.95</v>
      </c>
      <c r="H172" s="12">
        <v>0</v>
      </c>
    </row>
    <row r="173" spans="1:8" ht="12.15" customHeight="1" x14ac:dyDescent="0.25">
      <c r="D173" s="241" t="s">
        <v>759</v>
      </c>
      <c r="E173" s="242"/>
      <c r="F173" s="242"/>
      <c r="G173" s="47">
        <v>19.47</v>
      </c>
    </row>
    <row r="174" spans="1:8" ht="12.15" customHeight="1" x14ac:dyDescent="0.25">
      <c r="A174" s="132"/>
      <c r="B174" s="132"/>
      <c r="C174" s="132"/>
      <c r="D174" s="241" t="s">
        <v>760</v>
      </c>
      <c r="E174" s="242"/>
      <c r="F174" s="241"/>
      <c r="G174" s="76">
        <v>2.61</v>
      </c>
      <c r="H174" s="27"/>
    </row>
    <row r="175" spans="1:8" ht="12.15" customHeight="1" x14ac:dyDescent="0.25">
      <c r="A175" s="132"/>
      <c r="B175" s="132"/>
      <c r="C175" s="132"/>
      <c r="D175" s="241" t="s">
        <v>761</v>
      </c>
      <c r="E175" s="242"/>
      <c r="F175" s="241"/>
      <c r="G175" s="76">
        <v>13.19</v>
      </c>
      <c r="H175" s="27"/>
    </row>
    <row r="176" spans="1:8" ht="12.15" customHeight="1" x14ac:dyDescent="0.25">
      <c r="A176" s="132"/>
      <c r="B176" s="132"/>
      <c r="C176" s="132"/>
      <c r="D176" s="241" t="s">
        <v>762</v>
      </c>
      <c r="E176" s="242"/>
      <c r="F176" s="241"/>
      <c r="G176" s="76">
        <v>19.95</v>
      </c>
      <c r="H176" s="27"/>
    </row>
    <row r="177" spans="1:8" ht="12.15" customHeight="1" x14ac:dyDescent="0.25">
      <c r="A177" s="132"/>
      <c r="B177" s="132"/>
      <c r="C177" s="132"/>
      <c r="D177" s="241" t="s">
        <v>763</v>
      </c>
      <c r="E177" s="242"/>
      <c r="F177" s="241"/>
      <c r="G177" s="76">
        <v>23.09</v>
      </c>
      <c r="H177" s="27"/>
    </row>
    <row r="178" spans="1:8" ht="12.15" customHeight="1" x14ac:dyDescent="0.25">
      <c r="A178" s="132"/>
      <c r="B178" s="132"/>
      <c r="C178" s="132"/>
      <c r="D178" s="241" t="s">
        <v>764</v>
      </c>
      <c r="E178" s="242"/>
      <c r="F178" s="241"/>
      <c r="G178" s="76">
        <v>25.64</v>
      </c>
      <c r="H178" s="27"/>
    </row>
    <row r="179" spans="1:8" x14ac:dyDescent="0.25">
      <c r="A179" s="138" t="s">
        <v>57</v>
      </c>
      <c r="B179" s="138"/>
      <c r="C179" s="138" t="s">
        <v>246</v>
      </c>
      <c r="D179" s="277" t="s">
        <v>1125</v>
      </c>
      <c r="E179" s="232"/>
      <c r="F179" s="138" t="s">
        <v>625</v>
      </c>
      <c r="G179" s="97">
        <v>112.26600000000001</v>
      </c>
      <c r="H179" s="113">
        <v>0</v>
      </c>
    </row>
    <row r="180" spans="1:8" ht="12.15" customHeight="1" x14ac:dyDescent="0.25">
      <c r="D180" s="248" t="s">
        <v>759</v>
      </c>
      <c r="E180" s="249"/>
      <c r="F180" s="249"/>
      <c r="G180" s="48">
        <v>19.47</v>
      </c>
    </row>
    <row r="181" spans="1:8" ht="12.15" customHeight="1" x14ac:dyDescent="0.25">
      <c r="A181" s="102"/>
      <c r="B181" s="102"/>
      <c r="C181" s="102"/>
      <c r="D181" s="250" t="s">
        <v>760</v>
      </c>
      <c r="E181" s="251"/>
      <c r="F181" s="250"/>
      <c r="G181" s="114">
        <v>2.61</v>
      </c>
      <c r="H181" s="106"/>
    </row>
    <row r="182" spans="1:8" ht="12.15" customHeight="1" x14ac:dyDescent="0.25">
      <c r="A182" s="102"/>
      <c r="B182" s="102"/>
      <c r="C182" s="102"/>
      <c r="D182" s="250" t="s">
        <v>761</v>
      </c>
      <c r="E182" s="251"/>
      <c r="F182" s="250"/>
      <c r="G182" s="114">
        <v>13.19</v>
      </c>
      <c r="H182" s="106"/>
    </row>
    <row r="183" spans="1:8" ht="12.15" customHeight="1" x14ac:dyDescent="0.25">
      <c r="A183" s="102"/>
      <c r="B183" s="102"/>
      <c r="C183" s="102"/>
      <c r="D183" s="250" t="s">
        <v>762</v>
      </c>
      <c r="E183" s="251"/>
      <c r="F183" s="250"/>
      <c r="G183" s="114">
        <v>19.95</v>
      </c>
      <c r="H183" s="106"/>
    </row>
    <row r="184" spans="1:8" ht="12.15" customHeight="1" x14ac:dyDescent="0.25">
      <c r="A184" s="102"/>
      <c r="B184" s="102"/>
      <c r="C184" s="102"/>
      <c r="D184" s="250" t="s">
        <v>763</v>
      </c>
      <c r="E184" s="251"/>
      <c r="F184" s="250"/>
      <c r="G184" s="114">
        <v>23.09</v>
      </c>
      <c r="H184" s="106"/>
    </row>
    <row r="185" spans="1:8" ht="12.15" customHeight="1" x14ac:dyDescent="0.25">
      <c r="A185" s="102"/>
      <c r="B185" s="102"/>
      <c r="C185" s="102"/>
      <c r="D185" s="250" t="s">
        <v>764</v>
      </c>
      <c r="E185" s="251"/>
      <c r="F185" s="250"/>
      <c r="G185" s="114">
        <v>25.64</v>
      </c>
      <c r="H185" s="106"/>
    </row>
    <row r="186" spans="1:8" ht="12.15" customHeight="1" x14ac:dyDescent="0.25">
      <c r="A186" s="138"/>
      <c r="B186" s="138"/>
      <c r="C186" s="138"/>
      <c r="D186" s="252" t="s">
        <v>808</v>
      </c>
      <c r="E186" s="253"/>
      <c r="F186" s="252"/>
      <c r="G186" s="115">
        <v>8.3160000000000007</v>
      </c>
      <c r="H186" s="100"/>
    </row>
    <row r="187" spans="1:8" x14ac:dyDescent="0.25">
      <c r="A187" s="132" t="s">
        <v>58</v>
      </c>
      <c r="B187" s="132"/>
      <c r="C187" s="132" t="s">
        <v>247</v>
      </c>
      <c r="D187" s="225" t="s">
        <v>475</v>
      </c>
      <c r="E187" s="221"/>
      <c r="F187" s="132" t="s">
        <v>625</v>
      </c>
      <c r="G187" s="77">
        <v>103.95</v>
      </c>
      <c r="H187" s="12">
        <v>0</v>
      </c>
    </row>
    <row r="188" spans="1:8" ht="12.15" customHeight="1" x14ac:dyDescent="0.25">
      <c r="D188" s="241" t="s">
        <v>759</v>
      </c>
      <c r="E188" s="242"/>
      <c r="F188" s="242"/>
      <c r="G188" s="47">
        <v>19.47</v>
      </c>
    </row>
    <row r="189" spans="1:8" ht="12.15" customHeight="1" x14ac:dyDescent="0.25">
      <c r="A189" s="132"/>
      <c r="B189" s="132"/>
      <c r="C189" s="132"/>
      <c r="D189" s="241" t="s">
        <v>760</v>
      </c>
      <c r="E189" s="242"/>
      <c r="F189" s="241"/>
      <c r="G189" s="76">
        <v>2.61</v>
      </c>
      <c r="H189" s="27"/>
    </row>
    <row r="190" spans="1:8" ht="12.15" customHeight="1" x14ac:dyDescent="0.25">
      <c r="A190" s="132"/>
      <c r="B190" s="132"/>
      <c r="C190" s="132"/>
      <c r="D190" s="241" t="s">
        <v>761</v>
      </c>
      <c r="E190" s="242"/>
      <c r="F190" s="241"/>
      <c r="G190" s="76">
        <v>13.19</v>
      </c>
      <c r="H190" s="27"/>
    </row>
    <row r="191" spans="1:8" ht="12.15" customHeight="1" x14ac:dyDescent="0.25">
      <c r="A191" s="132"/>
      <c r="B191" s="132"/>
      <c r="C191" s="132"/>
      <c r="D191" s="241" t="s">
        <v>762</v>
      </c>
      <c r="E191" s="242"/>
      <c r="F191" s="241"/>
      <c r="G191" s="76">
        <v>19.95</v>
      </c>
      <c r="H191" s="27"/>
    </row>
    <row r="192" spans="1:8" ht="12.15" customHeight="1" x14ac:dyDescent="0.25">
      <c r="A192" s="132"/>
      <c r="B192" s="132"/>
      <c r="C192" s="132"/>
      <c r="D192" s="241" t="s">
        <v>763</v>
      </c>
      <c r="E192" s="242"/>
      <c r="F192" s="241"/>
      <c r="G192" s="76">
        <v>23.09</v>
      </c>
      <c r="H192" s="27"/>
    </row>
    <row r="193" spans="1:8" ht="12.15" customHeight="1" x14ac:dyDescent="0.25">
      <c r="A193" s="132"/>
      <c r="B193" s="132"/>
      <c r="C193" s="132"/>
      <c r="D193" s="241" t="s">
        <v>764</v>
      </c>
      <c r="E193" s="242"/>
      <c r="F193" s="241"/>
      <c r="G193" s="76">
        <v>25.64</v>
      </c>
      <c r="H193" s="27"/>
    </row>
    <row r="194" spans="1:8" x14ac:dyDescent="0.25">
      <c r="A194" s="136" t="s">
        <v>59</v>
      </c>
      <c r="B194" s="136"/>
      <c r="C194" s="136" t="s">
        <v>248</v>
      </c>
      <c r="D194" s="254" t="s">
        <v>477</v>
      </c>
      <c r="E194" s="222"/>
      <c r="F194" s="136" t="s">
        <v>627</v>
      </c>
      <c r="G194" s="88">
        <v>0.82699999999999996</v>
      </c>
      <c r="H194" s="116">
        <v>0</v>
      </c>
    </row>
    <row r="195" spans="1:8" x14ac:dyDescent="0.25">
      <c r="A195" s="137" t="s">
        <v>60</v>
      </c>
      <c r="B195" s="137"/>
      <c r="C195" s="137" t="s">
        <v>250</v>
      </c>
      <c r="D195" s="245" t="s">
        <v>479</v>
      </c>
      <c r="E195" s="224"/>
      <c r="F195" s="137" t="s">
        <v>629</v>
      </c>
      <c r="G195" s="92">
        <v>4.2</v>
      </c>
      <c r="H195" s="111">
        <v>0</v>
      </c>
    </row>
    <row r="196" spans="1:8" ht="12.15" customHeight="1" x14ac:dyDescent="0.25">
      <c r="D196" s="241" t="s">
        <v>809</v>
      </c>
      <c r="E196" s="242"/>
      <c r="F196" s="242"/>
      <c r="G196" s="47">
        <v>4.2</v>
      </c>
    </row>
    <row r="197" spans="1:8" x14ac:dyDescent="0.25">
      <c r="A197" s="137" t="s">
        <v>61</v>
      </c>
      <c r="B197" s="137"/>
      <c r="C197" s="137" t="s">
        <v>251</v>
      </c>
      <c r="D197" s="245" t="s">
        <v>480</v>
      </c>
      <c r="E197" s="224"/>
      <c r="F197" s="137" t="s">
        <v>628</v>
      </c>
      <c r="G197" s="92">
        <v>1</v>
      </c>
      <c r="H197" s="111">
        <v>0</v>
      </c>
    </row>
    <row r="198" spans="1:8" ht="12.15" customHeight="1" x14ac:dyDescent="0.25">
      <c r="D198" s="241" t="s">
        <v>810</v>
      </c>
      <c r="E198" s="242"/>
      <c r="F198" s="242"/>
      <c r="G198" s="47">
        <v>1</v>
      </c>
    </row>
    <row r="199" spans="1:8" x14ac:dyDescent="0.25">
      <c r="A199" s="132" t="s">
        <v>62</v>
      </c>
      <c r="B199" s="132"/>
      <c r="C199" s="132" t="s">
        <v>253</v>
      </c>
      <c r="D199" s="225" t="s">
        <v>483</v>
      </c>
      <c r="E199" s="221"/>
      <c r="F199" s="132" t="s">
        <v>628</v>
      </c>
      <c r="G199" s="77">
        <v>2</v>
      </c>
      <c r="H199" s="12">
        <v>0</v>
      </c>
    </row>
    <row r="200" spans="1:8" ht="12.15" customHeight="1" x14ac:dyDescent="0.25">
      <c r="D200" s="241" t="s">
        <v>811</v>
      </c>
      <c r="E200" s="242"/>
      <c r="F200" s="242"/>
      <c r="G200" s="47">
        <v>2</v>
      </c>
    </row>
    <row r="201" spans="1:8" x14ac:dyDescent="0.25">
      <c r="A201" s="132" t="s">
        <v>63</v>
      </c>
      <c r="B201" s="132"/>
      <c r="C201" s="132" t="s">
        <v>254</v>
      </c>
      <c r="D201" s="225" t="s">
        <v>484</v>
      </c>
      <c r="E201" s="221"/>
      <c r="F201" s="132" t="s">
        <v>628</v>
      </c>
      <c r="G201" s="77">
        <v>3</v>
      </c>
      <c r="H201" s="12">
        <v>0</v>
      </c>
    </row>
    <row r="202" spans="1:8" ht="12.15" customHeight="1" x14ac:dyDescent="0.25">
      <c r="D202" s="241" t="s">
        <v>812</v>
      </c>
      <c r="E202" s="242"/>
      <c r="F202" s="242"/>
      <c r="G202" s="47">
        <v>3</v>
      </c>
    </row>
    <row r="203" spans="1:8" x14ac:dyDescent="0.25">
      <c r="A203" s="132" t="s">
        <v>64</v>
      </c>
      <c r="B203" s="132"/>
      <c r="C203" s="132" t="s">
        <v>255</v>
      </c>
      <c r="D203" s="225" t="s">
        <v>485</v>
      </c>
      <c r="E203" s="221"/>
      <c r="F203" s="132" t="s">
        <v>627</v>
      </c>
      <c r="G203" s="77">
        <v>0.13400000000000001</v>
      </c>
      <c r="H203" s="12">
        <v>0</v>
      </c>
    </row>
    <row r="204" spans="1:8" x14ac:dyDescent="0.25">
      <c r="A204" s="134" t="s">
        <v>65</v>
      </c>
      <c r="B204" s="134"/>
      <c r="C204" s="134" t="s">
        <v>257</v>
      </c>
      <c r="D204" s="235" t="s">
        <v>487</v>
      </c>
      <c r="E204" s="231"/>
      <c r="F204" s="134" t="s">
        <v>628</v>
      </c>
      <c r="G204" s="78">
        <v>4</v>
      </c>
      <c r="H204" s="13">
        <v>0</v>
      </c>
    </row>
    <row r="205" spans="1:8" ht="12.15" customHeight="1" x14ac:dyDescent="0.25">
      <c r="D205" s="248" t="s">
        <v>813</v>
      </c>
      <c r="E205" s="249"/>
      <c r="F205" s="249"/>
      <c r="G205" s="48">
        <v>4</v>
      </c>
    </row>
    <row r="206" spans="1:8" x14ac:dyDescent="0.25">
      <c r="A206" s="132" t="s">
        <v>66</v>
      </c>
      <c r="B206" s="132"/>
      <c r="C206" s="132" t="s">
        <v>258</v>
      </c>
      <c r="D206" s="225" t="s">
        <v>488</v>
      </c>
      <c r="E206" s="221"/>
      <c r="F206" s="132" t="s">
        <v>628</v>
      </c>
      <c r="G206" s="77">
        <v>4</v>
      </c>
      <c r="H206" s="12">
        <v>0</v>
      </c>
    </row>
    <row r="207" spans="1:8" ht="12.15" customHeight="1" x14ac:dyDescent="0.25">
      <c r="D207" s="241" t="s">
        <v>813</v>
      </c>
      <c r="E207" s="242"/>
      <c r="F207" s="242"/>
      <c r="G207" s="47">
        <v>4</v>
      </c>
    </row>
    <row r="208" spans="1:8" x14ac:dyDescent="0.25">
      <c r="A208" s="134" t="s">
        <v>67</v>
      </c>
      <c r="B208" s="134"/>
      <c r="C208" s="134" t="s">
        <v>260</v>
      </c>
      <c r="D208" s="279" t="s">
        <v>1126</v>
      </c>
      <c r="E208" s="231"/>
      <c r="F208" s="134" t="s">
        <v>628</v>
      </c>
      <c r="G208" s="78">
        <v>4</v>
      </c>
      <c r="H208" s="13">
        <v>0</v>
      </c>
    </row>
    <row r="209" spans="1:8" ht="12.15" customHeight="1" x14ac:dyDescent="0.25">
      <c r="D209" s="248" t="s">
        <v>814</v>
      </c>
      <c r="E209" s="249"/>
      <c r="F209" s="249"/>
      <c r="G209" s="48">
        <v>4</v>
      </c>
    </row>
    <row r="210" spans="1:8" x14ac:dyDescent="0.25">
      <c r="A210" s="132" t="s">
        <v>68</v>
      </c>
      <c r="B210" s="132"/>
      <c r="C210" s="132" t="s">
        <v>261</v>
      </c>
      <c r="D210" s="225" t="s">
        <v>490</v>
      </c>
      <c r="E210" s="221"/>
      <c r="F210" s="132" t="s">
        <v>630</v>
      </c>
      <c r="G210" s="77">
        <v>4</v>
      </c>
      <c r="H210" s="12">
        <v>0</v>
      </c>
    </row>
    <row r="211" spans="1:8" ht="12.15" customHeight="1" x14ac:dyDescent="0.25">
      <c r="D211" s="241" t="s">
        <v>814</v>
      </c>
      <c r="E211" s="242"/>
      <c r="F211" s="242"/>
      <c r="G211" s="47">
        <v>4</v>
      </c>
    </row>
    <row r="212" spans="1:8" x14ac:dyDescent="0.25">
      <c r="A212" s="132" t="s">
        <v>69</v>
      </c>
      <c r="B212" s="132"/>
      <c r="C212" s="132" t="s">
        <v>262</v>
      </c>
      <c r="D212" s="225" t="s">
        <v>491</v>
      </c>
      <c r="E212" s="221"/>
      <c r="F212" s="132" t="s">
        <v>627</v>
      </c>
      <c r="G212" s="77">
        <v>0.47399999999999998</v>
      </c>
      <c r="H212" s="12">
        <v>0</v>
      </c>
    </row>
    <row r="213" spans="1:8" x14ac:dyDescent="0.25">
      <c r="A213" s="138" t="s">
        <v>70</v>
      </c>
      <c r="B213" s="138"/>
      <c r="C213" s="138" t="s">
        <v>264</v>
      </c>
      <c r="D213" s="277" t="s">
        <v>1127</v>
      </c>
      <c r="E213" s="232"/>
      <c r="F213" s="138" t="s">
        <v>631</v>
      </c>
      <c r="G213" s="97">
        <v>573.86800000000005</v>
      </c>
      <c r="H213" s="113">
        <v>0</v>
      </c>
    </row>
    <row r="214" spans="1:8" ht="12.15" customHeight="1" x14ac:dyDescent="0.25">
      <c r="D214" s="248" t="s">
        <v>815</v>
      </c>
      <c r="E214" s="249"/>
      <c r="F214" s="249"/>
      <c r="G214" s="48">
        <v>75.516999999999996</v>
      </c>
    </row>
    <row r="215" spans="1:8" ht="12.15" customHeight="1" x14ac:dyDescent="0.25">
      <c r="A215" s="102"/>
      <c r="B215" s="102"/>
      <c r="C215" s="102"/>
      <c r="D215" s="250" t="s">
        <v>816</v>
      </c>
      <c r="E215" s="251"/>
      <c r="F215" s="250"/>
      <c r="G215" s="114">
        <v>61.552</v>
      </c>
      <c r="H215" s="106"/>
    </row>
    <row r="216" spans="1:8" ht="12.15" customHeight="1" x14ac:dyDescent="0.25">
      <c r="A216" s="102"/>
      <c r="B216" s="102"/>
      <c r="C216" s="102"/>
      <c r="D216" s="250" t="s">
        <v>817</v>
      </c>
      <c r="E216" s="251"/>
      <c r="F216" s="250"/>
      <c r="G216" s="114">
        <v>139.80699999999999</v>
      </c>
      <c r="H216" s="106"/>
    </row>
    <row r="217" spans="1:8" ht="12.15" customHeight="1" x14ac:dyDescent="0.25">
      <c r="A217" s="102"/>
      <c r="B217" s="102"/>
      <c r="C217" s="102"/>
      <c r="D217" s="250" t="s">
        <v>818</v>
      </c>
      <c r="E217" s="251"/>
      <c r="F217" s="250"/>
      <c r="G217" s="114">
        <v>72.414000000000001</v>
      </c>
      <c r="H217" s="106"/>
    </row>
    <row r="218" spans="1:8" ht="12.15" customHeight="1" x14ac:dyDescent="0.25">
      <c r="A218" s="102"/>
      <c r="B218" s="102"/>
      <c r="C218" s="102"/>
      <c r="D218" s="250" t="s">
        <v>819</v>
      </c>
      <c r="E218" s="251"/>
      <c r="F218" s="250"/>
      <c r="G218" s="114">
        <v>42.509</v>
      </c>
      <c r="H218" s="106"/>
    </row>
    <row r="219" spans="1:8" ht="12.15" customHeight="1" x14ac:dyDescent="0.25">
      <c r="A219" s="102"/>
      <c r="B219" s="102"/>
      <c r="C219" s="102"/>
      <c r="D219" s="250" t="s">
        <v>820</v>
      </c>
      <c r="E219" s="251"/>
      <c r="F219" s="250"/>
      <c r="G219" s="114">
        <v>99.861999999999995</v>
      </c>
      <c r="H219" s="106"/>
    </row>
    <row r="220" spans="1:8" ht="12.15" customHeight="1" x14ac:dyDescent="0.25">
      <c r="A220" s="102"/>
      <c r="B220" s="102"/>
      <c r="C220" s="102"/>
      <c r="D220" s="250" t="s">
        <v>821</v>
      </c>
      <c r="E220" s="251"/>
      <c r="F220" s="250"/>
      <c r="G220" s="114">
        <v>82.206999999999994</v>
      </c>
      <c r="H220" s="106"/>
    </row>
    <row r="221" spans="1:8" x14ac:dyDescent="0.25">
      <c r="A221" s="138" t="s">
        <v>71</v>
      </c>
      <c r="B221" s="138"/>
      <c r="C221" s="138" t="s">
        <v>265</v>
      </c>
      <c r="D221" s="277" t="s">
        <v>1128</v>
      </c>
      <c r="E221" s="232"/>
      <c r="F221" s="138" t="s">
        <v>631</v>
      </c>
      <c r="G221" s="97">
        <v>1617.7650000000001</v>
      </c>
      <c r="H221" s="113">
        <v>0</v>
      </c>
    </row>
    <row r="222" spans="1:8" ht="12.15" customHeight="1" x14ac:dyDescent="0.25">
      <c r="D222" s="248" t="s">
        <v>822</v>
      </c>
      <c r="E222" s="249"/>
      <c r="F222" s="249"/>
      <c r="G222" s="48">
        <v>1497.931</v>
      </c>
    </row>
    <row r="223" spans="1:8" ht="12.15" customHeight="1" x14ac:dyDescent="0.25">
      <c r="A223" s="138"/>
      <c r="B223" s="138"/>
      <c r="C223" s="138"/>
      <c r="D223" s="252" t="s">
        <v>823</v>
      </c>
      <c r="E223" s="253"/>
      <c r="F223" s="252"/>
      <c r="G223" s="115">
        <v>119.834</v>
      </c>
      <c r="H223" s="100"/>
    </row>
    <row r="224" spans="1:8" x14ac:dyDescent="0.25">
      <c r="A224" s="132" t="s">
        <v>72</v>
      </c>
      <c r="B224" s="132"/>
      <c r="C224" s="132" t="s">
        <v>266</v>
      </c>
      <c r="D224" s="225" t="s">
        <v>493</v>
      </c>
      <c r="E224" s="221"/>
      <c r="F224" s="132" t="s">
        <v>629</v>
      </c>
      <c r="G224" s="77">
        <v>2029.29</v>
      </c>
      <c r="H224" s="12">
        <v>0</v>
      </c>
    </row>
    <row r="225" spans="1:8" ht="12.15" customHeight="1" x14ac:dyDescent="0.25">
      <c r="D225" s="241" t="s">
        <v>815</v>
      </c>
      <c r="E225" s="242"/>
      <c r="F225" s="242"/>
      <c r="G225" s="47">
        <v>75.516999999999996</v>
      </c>
    </row>
    <row r="226" spans="1:8" ht="12.15" customHeight="1" x14ac:dyDescent="0.25">
      <c r="A226" s="132"/>
      <c r="B226" s="132"/>
      <c r="C226" s="132"/>
      <c r="D226" s="241" t="s">
        <v>816</v>
      </c>
      <c r="E226" s="242"/>
      <c r="F226" s="241"/>
      <c r="G226" s="76">
        <v>61.552</v>
      </c>
      <c r="H226" s="27"/>
    </row>
    <row r="227" spans="1:8" ht="12.15" customHeight="1" x14ac:dyDescent="0.25">
      <c r="A227" s="132"/>
      <c r="B227" s="132"/>
      <c r="C227" s="132"/>
      <c r="D227" s="241" t="s">
        <v>817</v>
      </c>
      <c r="E227" s="242"/>
      <c r="F227" s="241"/>
      <c r="G227" s="76">
        <v>139.80699999999999</v>
      </c>
      <c r="H227" s="27"/>
    </row>
    <row r="228" spans="1:8" ht="12.15" customHeight="1" x14ac:dyDescent="0.25">
      <c r="A228" s="132"/>
      <c r="B228" s="132"/>
      <c r="C228" s="132"/>
      <c r="D228" s="241" t="s">
        <v>820</v>
      </c>
      <c r="E228" s="242"/>
      <c r="F228" s="241"/>
      <c r="G228" s="76">
        <v>99.861999999999995</v>
      </c>
      <c r="H228" s="27"/>
    </row>
    <row r="229" spans="1:8" ht="12.15" customHeight="1" x14ac:dyDescent="0.25">
      <c r="A229" s="132"/>
      <c r="B229" s="132"/>
      <c r="C229" s="132"/>
      <c r="D229" s="241" t="s">
        <v>822</v>
      </c>
      <c r="E229" s="242"/>
      <c r="F229" s="241"/>
      <c r="G229" s="76">
        <v>1497.931</v>
      </c>
      <c r="H229" s="27"/>
    </row>
    <row r="230" spans="1:8" ht="12.15" customHeight="1" x14ac:dyDescent="0.25">
      <c r="A230" s="132"/>
      <c r="B230" s="132"/>
      <c r="C230" s="132"/>
      <c r="D230" s="241" t="s">
        <v>821</v>
      </c>
      <c r="E230" s="242"/>
      <c r="F230" s="241"/>
      <c r="G230" s="76">
        <v>82.206999999999994</v>
      </c>
      <c r="H230" s="27"/>
    </row>
    <row r="231" spans="1:8" ht="12.15" customHeight="1" x14ac:dyDescent="0.25">
      <c r="A231" s="132"/>
      <c r="B231" s="132"/>
      <c r="C231" s="132"/>
      <c r="D231" s="241" t="s">
        <v>818</v>
      </c>
      <c r="E231" s="242"/>
      <c r="F231" s="241"/>
      <c r="G231" s="76">
        <v>72.414000000000001</v>
      </c>
      <c r="H231" s="27"/>
    </row>
    <row r="232" spans="1:8" x14ac:dyDescent="0.25">
      <c r="A232" s="137" t="s">
        <v>73</v>
      </c>
      <c r="B232" s="137"/>
      <c r="C232" s="137" t="s">
        <v>267</v>
      </c>
      <c r="D232" s="245" t="s">
        <v>494</v>
      </c>
      <c r="E232" s="224"/>
      <c r="F232" s="137" t="s">
        <v>627</v>
      </c>
      <c r="G232" s="92">
        <v>15.009</v>
      </c>
      <c r="H232" s="111">
        <v>0</v>
      </c>
    </row>
    <row r="233" spans="1:8" x14ac:dyDescent="0.25">
      <c r="A233" s="132" t="s">
        <v>74</v>
      </c>
      <c r="B233" s="132"/>
      <c r="C233" s="132" t="s">
        <v>269</v>
      </c>
      <c r="D233" s="225" t="s">
        <v>496</v>
      </c>
      <c r="E233" s="221"/>
      <c r="F233" s="132" t="s">
        <v>629</v>
      </c>
      <c r="G233" s="77">
        <v>7.8</v>
      </c>
      <c r="H233" s="12">
        <v>0</v>
      </c>
    </row>
    <row r="234" spans="1:8" ht="12.15" customHeight="1" x14ac:dyDescent="0.25">
      <c r="D234" s="241" t="s">
        <v>824</v>
      </c>
      <c r="E234" s="242"/>
      <c r="F234" s="242"/>
      <c r="G234" s="47">
        <v>6.9</v>
      </c>
    </row>
    <row r="235" spans="1:8" ht="12.15" customHeight="1" x14ac:dyDescent="0.25">
      <c r="A235" s="132"/>
      <c r="B235" s="132"/>
      <c r="C235" s="132"/>
      <c r="D235" s="241" t="s">
        <v>825</v>
      </c>
      <c r="E235" s="242"/>
      <c r="F235" s="241"/>
      <c r="G235" s="76">
        <v>0.9</v>
      </c>
      <c r="H235" s="27"/>
    </row>
    <row r="236" spans="1:8" x14ac:dyDescent="0.25">
      <c r="A236" s="132" t="s">
        <v>75</v>
      </c>
      <c r="B236" s="132"/>
      <c r="C236" s="132" t="s">
        <v>270</v>
      </c>
      <c r="D236" s="225" t="s">
        <v>497</v>
      </c>
      <c r="E236" s="221"/>
      <c r="F236" s="132" t="s">
        <v>625</v>
      </c>
      <c r="G236" s="77">
        <v>369.56799999999998</v>
      </c>
      <c r="H236" s="12">
        <v>0</v>
      </c>
    </row>
    <row r="237" spans="1:8" ht="12.15" customHeight="1" x14ac:dyDescent="0.25">
      <c r="D237" s="241" t="s">
        <v>805</v>
      </c>
      <c r="E237" s="242"/>
      <c r="F237" s="242"/>
      <c r="G237" s="47">
        <v>77.38</v>
      </c>
    </row>
    <row r="238" spans="1:8" ht="12.15" customHeight="1" x14ac:dyDescent="0.25">
      <c r="A238" s="132"/>
      <c r="B238" s="132"/>
      <c r="C238" s="132"/>
      <c r="D238" s="241" t="s">
        <v>806</v>
      </c>
      <c r="E238" s="242"/>
      <c r="F238" s="241"/>
      <c r="G238" s="76">
        <v>66.3</v>
      </c>
      <c r="H238" s="27"/>
    </row>
    <row r="239" spans="1:8" ht="12.15" customHeight="1" x14ac:dyDescent="0.25">
      <c r="A239" s="132"/>
      <c r="B239" s="132"/>
      <c r="C239" s="132"/>
      <c r="D239" s="241" t="s">
        <v>826</v>
      </c>
      <c r="E239" s="242"/>
      <c r="F239" s="241"/>
      <c r="G239" s="76">
        <v>225.88800000000001</v>
      </c>
      <c r="H239" s="27"/>
    </row>
    <row r="240" spans="1:8" x14ac:dyDescent="0.25">
      <c r="A240" s="132" t="s">
        <v>76</v>
      </c>
      <c r="B240" s="132"/>
      <c r="C240" s="132" t="s">
        <v>271</v>
      </c>
      <c r="D240" s="225" t="s">
        <v>498</v>
      </c>
      <c r="E240" s="221"/>
      <c r="F240" s="132" t="s">
        <v>629</v>
      </c>
      <c r="G240" s="77">
        <v>52.06</v>
      </c>
      <c r="H240" s="12">
        <v>0</v>
      </c>
    </row>
    <row r="241" spans="1:8" ht="12.15" customHeight="1" x14ac:dyDescent="0.25">
      <c r="D241" s="241" t="s">
        <v>827</v>
      </c>
      <c r="E241" s="242"/>
      <c r="F241" s="242"/>
      <c r="G241" s="47">
        <v>14.6</v>
      </c>
    </row>
    <row r="242" spans="1:8" ht="12.15" customHeight="1" x14ac:dyDescent="0.25">
      <c r="A242" s="132"/>
      <c r="B242" s="132"/>
      <c r="C242" s="132"/>
      <c r="D242" s="241" t="s">
        <v>828</v>
      </c>
      <c r="E242" s="242"/>
      <c r="F242" s="241"/>
      <c r="G242" s="76">
        <v>8.5</v>
      </c>
      <c r="H242" s="27"/>
    </row>
    <row r="243" spans="1:8" ht="12.15" customHeight="1" x14ac:dyDescent="0.25">
      <c r="A243" s="132"/>
      <c r="B243" s="132"/>
      <c r="C243" s="132"/>
      <c r="D243" s="241" t="s">
        <v>829</v>
      </c>
      <c r="E243" s="242"/>
      <c r="F243" s="241"/>
      <c r="G243" s="76">
        <v>28.96</v>
      </c>
      <c r="H243" s="27"/>
    </row>
    <row r="244" spans="1:8" x14ac:dyDescent="0.25">
      <c r="A244" s="132" t="s">
        <v>77</v>
      </c>
      <c r="B244" s="132"/>
      <c r="C244" s="132" t="s">
        <v>272</v>
      </c>
      <c r="D244" s="225" t="s">
        <v>499</v>
      </c>
      <c r="E244" s="221"/>
      <c r="F244" s="132" t="s">
        <v>629</v>
      </c>
      <c r="G244" s="77">
        <v>26.86</v>
      </c>
      <c r="H244" s="12">
        <v>0</v>
      </c>
    </row>
    <row r="245" spans="1:8" ht="12.15" customHeight="1" x14ac:dyDescent="0.25">
      <c r="D245" s="241" t="s">
        <v>830</v>
      </c>
      <c r="E245" s="242"/>
      <c r="F245" s="242"/>
      <c r="G245" s="47">
        <v>8.44</v>
      </c>
    </row>
    <row r="246" spans="1:8" ht="12.15" customHeight="1" x14ac:dyDescent="0.25">
      <c r="A246" s="132"/>
      <c r="B246" s="132"/>
      <c r="C246" s="132"/>
      <c r="D246" s="241" t="s">
        <v>831</v>
      </c>
      <c r="E246" s="242"/>
      <c r="F246" s="241"/>
      <c r="G246" s="76">
        <v>4.22</v>
      </c>
      <c r="H246" s="27"/>
    </row>
    <row r="247" spans="1:8" ht="12.15" customHeight="1" x14ac:dyDescent="0.25">
      <c r="A247" s="132"/>
      <c r="B247" s="132"/>
      <c r="C247" s="132"/>
      <c r="D247" s="241" t="s">
        <v>832</v>
      </c>
      <c r="E247" s="242"/>
      <c r="F247" s="241"/>
      <c r="G247" s="76">
        <v>14.2</v>
      </c>
      <c r="H247" s="27"/>
    </row>
    <row r="248" spans="1:8" x14ac:dyDescent="0.25">
      <c r="A248" s="134" t="s">
        <v>78</v>
      </c>
      <c r="B248" s="134"/>
      <c r="C248" s="134" t="s">
        <v>273</v>
      </c>
      <c r="D248" s="235" t="s">
        <v>500</v>
      </c>
      <c r="E248" s="231"/>
      <c r="F248" s="134" t="s">
        <v>625</v>
      </c>
      <c r="G248" s="78">
        <v>570.22500000000002</v>
      </c>
      <c r="H248" s="13">
        <v>0</v>
      </c>
    </row>
    <row r="249" spans="1:8" ht="12.15" customHeight="1" x14ac:dyDescent="0.25">
      <c r="D249" s="248" t="s">
        <v>833</v>
      </c>
      <c r="E249" s="249"/>
      <c r="F249" s="249"/>
      <c r="G249" s="48">
        <v>88.986999999999995</v>
      </c>
    </row>
    <row r="250" spans="1:8" ht="12.15" customHeight="1" x14ac:dyDescent="0.25">
      <c r="A250" s="134"/>
      <c r="B250" s="134"/>
      <c r="C250" s="134"/>
      <c r="D250" s="248" t="s">
        <v>834</v>
      </c>
      <c r="E250" s="249"/>
      <c r="F250" s="248"/>
      <c r="G250" s="79">
        <v>43.78</v>
      </c>
      <c r="H250" s="29"/>
    </row>
    <row r="251" spans="1:8" ht="12.15" customHeight="1" x14ac:dyDescent="0.25">
      <c r="A251" s="134"/>
      <c r="B251" s="134"/>
      <c r="C251" s="134"/>
      <c r="D251" s="248" t="s">
        <v>835</v>
      </c>
      <c r="E251" s="249"/>
      <c r="F251" s="248"/>
      <c r="G251" s="79">
        <v>76.245000000000005</v>
      </c>
      <c r="H251" s="29"/>
    </row>
    <row r="252" spans="1:8" ht="12.15" customHeight="1" x14ac:dyDescent="0.25">
      <c r="A252" s="134"/>
      <c r="B252" s="134"/>
      <c r="C252" s="134"/>
      <c r="D252" s="248" t="s">
        <v>836</v>
      </c>
      <c r="E252" s="249"/>
      <c r="F252" s="248"/>
      <c r="G252" s="79">
        <v>20.57</v>
      </c>
      <c r="H252" s="29"/>
    </row>
    <row r="253" spans="1:8" ht="12.15" customHeight="1" x14ac:dyDescent="0.25">
      <c r="A253" s="134"/>
      <c r="B253" s="134"/>
      <c r="C253" s="134"/>
      <c r="D253" s="248" t="s">
        <v>837</v>
      </c>
      <c r="E253" s="249"/>
      <c r="F253" s="248"/>
      <c r="G253" s="79">
        <v>259.77100000000002</v>
      </c>
      <c r="H253" s="29"/>
    </row>
    <row r="254" spans="1:8" ht="12.15" customHeight="1" x14ac:dyDescent="0.25">
      <c r="A254" s="134"/>
      <c r="B254" s="134"/>
      <c r="C254" s="134"/>
      <c r="D254" s="248" t="s">
        <v>838</v>
      </c>
      <c r="E254" s="249"/>
      <c r="F254" s="248"/>
      <c r="G254" s="79">
        <v>80.872</v>
      </c>
      <c r="H254" s="29"/>
    </row>
    <row r="255" spans="1:8" x14ac:dyDescent="0.25">
      <c r="A255" s="132" t="s">
        <v>79</v>
      </c>
      <c r="B255" s="132"/>
      <c r="C255" s="132" t="s">
        <v>274</v>
      </c>
      <c r="D255" s="225" t="s">
        <v>501</v>
      </c>
      <c r="E255" s="221"/>
      <c r="F255" s="132" t="s">
        <v>625</v>
      </c>
      <c r="G255" s="77">
        <v>369.56799999999998</v>
      </c>
      <c r="H255" s="12">
        <v>0</v>
      </c>
    </row>
    <row r="256" spans="1:8" ht="12.15" customHeight="1" x14ac:dyDescent="0.25">
      <c r="D256" s="241" t="s">
        <v>805</v>
      </c>
      <c r="E256" s="242"/>
      <c r="F256" s="242"/>
      <c r="G256" s="47">
        <v>77.38</v>
      </c>
    </row>
    <row r="257" spans="1:8" ht="12.15" customHeight="1" x14ac:dyDescent="0.25">
      <c r="A257" s="132"/>
      <c r="B257" s="132"/>
      <c r="C257" s="132"/>
      <c r="D257" s="241" t="s">
        <v>806</v>
      </c>
      <c r="E257" s="242"/>
      <c r="F257" s="241"/>
      <c r="G257" s="76">
        <v>66.3</v>
      </c>
      <c r="H257" s="27"/>
    </row>
    <row r="258" spans="1:8" ht="12.15" customHeight="1" x14ac:dyDescent="0.25">
      <c r="A258" s="132"/>
      <c r="B258" s="132"/>
      <c r="C258" s="132"/>
      <c r="D258" s="241" t="s">
        <v>826</v>
      </c>
      <c r="E258" s="242"/>
      <c r="F258" s="241"/>
      <c r="G258" s="76">
        <v>225.88800000000001</v>
      </c>
      <c r="H258" s="27"/>
    </row>
    <row r="259" spans="1:8" x14ac:dyDescent="0.25">
      <c r="A259" s="132" t="s">
        <v>80</v>
      </c>
      <c r="B259" s="132"/>
      <c r="C259" s="132" t="s">
        <v>275</v>
      </c>
      <c r="D259" s="225" t="s">
        <v>502</v>
      </c>
      <c r="E259" s="221"/>
      <c r="F259" s="132" t="s">
        <v>629</v>
      </c>
      <c r="G259" s="77">
        <v>145.91999999999999</v>
      </c>
      <c r="H259" s="12">
        <v>0</v>
      </c>
    </row>
    <row r="260" spans="1:8" ht="12.15" customHeight="1" x14ac:dyDescent="0.25">
      <c r="D260" s="241" t="s">
        <v>839</v>
      </c>
      <c r="E260" s="242"/>
      <c r="F260" s="242"/>
      <c r="G260" s="47">
        <v>39.799999999999997</v>
      </c>
    </row>
    <row r="261" spans="1:8" ht="12.15" customHeight="1" x14ac:dyDescent="0.25">
      <c r="A261" s="132"/>
      <c r="B261" s="132"/>
      <c r="C261" s="132"/>
      <c r="D261" s="241" t="s">
        <v>840</v>
      </c>
      <c r="E261" s="242"/>
      <c r="F261" s="241"/>
      <c r="G261" s="76">
        <v>32.6</v>
      </c>
      <c r="H261" s="27"/>
    </row>
    <row r="262" spans="1:8" ht="12.15" customHeight="1" x14ac:dyDescent="0.25">
      <c r="A262" s="132"/>
      <c r="B262" s="132"/>
      <c r="C262" s="132"/>
      <c r="D262" s="241" t="s">
        <v>841</v>
      </c>
      <c r="E262" s="242"/>
      <c r="F262" s="241"/>
      <c r="G262" s="76">
        <v>73.52</v>
      </c>
      <c r="H262" s="27"/>
    </row>
    <row r="263" spans="1:8" x14ac:dyDescent="0.25">
      <c r="A263" s="132" t="s">
        <v>81</v>
      </c>
      <c r="B263" s="132"/>
      <c r="C263" s="132" t="s">
        <v>276</v>
      </c>
      <c r="D263" s="275" t="s">
        <v>1129</v>
      </c>
      <c r="E263" s="221"/>
      <c r="F263" s="132" t="s">
        <v>628</v>
      </c>
      <c r="G263" s="77">
        <v>7</v>
      </c>
      <c r="H263" s="12">
        <v>0</v>
      </c>
    </row>
    <row r="264" spans="1:8" ht="12.15" customHeight="1" x14ac:dyDescent="0.25">
      <c r="D264" s="241" t="s">
        <v>842</v>
      </c>
      <c r="E264" s="242"/>
      <c r="F264" s="242"/>
      <c r="G264" s="47">
        <v>2</v>
      </c>
    </row>
    <row r="265" spans="1:8" ht="12.15" customHeight="1" x14ac:dyDescent="0.25">
      <c r="A265" s="132"/>
      <c r="B265" s="132"/>
      <c r="C265" s="132"/>
      <c r="D265" s="241" t="s">
        <v>843</v>
      </c>
      <c r="E265" s="242"/>
      <c r="F265" s="241"/>
      <c r="G265" s="76">
        <v>1</v>
      </c>
      <c r="H265" s="27"/>
    </row>
    <row r="266" spans="1:8" ht="12.15" customHeight="1" x14ac:dyDescent="0.25">
      <c r="A266" s="132"/>
      <c r="B266" s="132"/>
      <c r="C266" s="132"/>
      <c r="D266" s="241" t="s">
        <v>844</v>
      </c>
      <c r="E266" s="242"/>
      <c r="F266" s="241"/>
      <c r="G266" s="76">
        <v>4</v>
      </c>
      <c r="H266" s="27"/>
    </row>
    <row r="267" spans="1:8" x14ac:dyDescent="0.25">
      <c r="A267" s="132" t="s">
        <v>82</v>
      </c>
      <c r="B267" s="132"/>
      <c r="C267" s="132" t="s">
        <v>277</v>
      </c>
      <c r="D267" s="275" t="s">
        <v>1130</v>
      </c>
      <c r="E267" s="221"/>
      <c r="F267" s="132" t="s">
        <v>629</v>
      </c>
      <c r="G267" s="77">
        <v>52.06</v>
      </c>
      <c r="H267" s="12">
        <v>0</v>
      </c>
    </row>
    <row r="268" spans="1:8" ht="12.15" customHeight="1" x14ac:dyDescent="0.25">
      <c r="D268" s="241" t="s">
        <v>827</v>
      </c>
      <c r="E268" s="242"/>
      <c r="F268" s="242"/>
      <c r="G268" s="47">
        <v>14.6</v>
      </c>
    </row>
    <row r="269" spans="1:8" ht="12.15" customHeight="1" x14ac:dyDescent="0.25">
      <c r="A269" s="132"/>
      <c r="B269" s="132"/>
      <c r="C269" s="132"/>
      <c r="D269" s="241" t="s">
        <v>828</v>
      </c>
      <c r="E269" s="242"/>
      <c r="F269" s="241"/>
      <c r="G269" s="76">
        <v>8.5</v>
      </c>
      <c r="H269" s="27"/>
    </row>
    <row r="270" spans="1:8" ht="12.15" customHeight="1" x14ac:dyDescent="0.25">
      <c r="A270" s="132"/>
      <c r="B270" s="132"/>
      <c r="C270" s="132"/>
      <c r="D270" s="241" t="s">
        <v>829</v>
      </c>
      <c r="E270" s="242"/>
      <c r="F270" s="241"/>
      <c r="G270" s="76">
        <v>28.96</v>
      </c>
      <c r="H270" s="27"/>
    </row>
    <row r="271" spans="1:8" x14ac:dyDescent="0.25">
      <c r="A271" s="132" t="s">
        <v>83</v>
      </c>
      <c r="B271" s="132"/>
      <c r="C271" s="132" t="s">
        <v>278</v>
      </c>
      <c r="D271" s="275" t="s">
        <v>1131</v>
      </c>
      <c r="E271" s="221"/>
      <c r="F271" s="132" t="s">
        <v>629</v>
      </c>
      <c r="G271" s="77">
        <v>26.86</v>
      </c>
      <c r="H271" s="12">
        <v>0</v>
      </c>
    </row>
    <row r="272" spans="1:8" ht="12.15" customHeight="1" x14ac:dyDescent="0.25">
      <c r="D272" s="241" t="s">
        <v>830</v>
      </c>
      <c r="E272" s="242"/>
      <c r="F272" s="242"/>
      <c r="G272" s="47">
        <v>8.44</v>
      </c>
    </row>
    <row r="273" spans="1:8" ht="12.15" customHeight="1" x14ac:dyDescent="0.25">
      <c r="A273" s="132"/>
      <c r="B273" s="132"/>
      <c r="C273" s="132"/>
      <c r="D273" s="241" t="s">
        <v>831</v>
      </c>
      <c r="E273" s="242"/>
      <c r="F273" s="241"/>
      <c r="G273" s="76">
        <v>4.22</v>
      </c>
      <c r="H273" s="27"/>
    </row>
    <row r="274" spans="1:8" ht="12.15" customHeight="1" x14ac:dyDescent="0.25">
      <c r="A274" s="132"/>
      <c r="B274" s="132"/>
      <c r="C274" s="132"/>
      <c r="D274" s="241" t="s">
        <v>832</v>
      </c>
      <c r="E274" s="242"/>
      <c r="F274" s="241"/>
      <c r="G274" s="76">
        <v>14.2</v>
      </c>
      <c r="H274" s="27"/>
    </row>
    <row r="275" spans="1:8" x14ac:dyDescent="0.25">
      <c r="A275" s="132" t="s">
        <v>84</v>
      </c>
      <c r="B275" s="132"/>
      <c r="C275" s="132" t="s">
        <v>279</v>
      </c>
      <c r="D275" s="275" t="s">
        <v>1132</v>
      </c>
      <c r="E275" s="221"/>
      <c r="F275" s="132" t="s">
        <v>629</v>
      </c>
      <c r="G275" s="77">
        <v>7.8</v>
      </c>
      <c r="H275" s="12">
        <v>0</v>
      </c>
    </row>
    <row r="276" spans="1:8" ht="12.15" customHeight="1" x14ac:dyDescent="0.25">
      <c r="D276" s="241" t="s">
        <v>845</v>
      </c>
      <c r="E276" s="242"/>
      <c r="F276" s="242"/>
      <c r="G276" s="47">
        <v>6.9</v>
      </c>
    </row>
    <row r="277" spans="1:8" ht="12.15" customHeight="1" x14ac:dyDescent="0.25">
      <c r="A277" s="132"/>
      <c r="B277" s="132"/>
      <c r="C277" s="132"/>
      <c r="D277" s="241" t="s">
        <v>825</v>
      </c>
      <c r="E277" s="242"/>
      <c r="F277" s="241"/>
      <c r="G277" s="76">
        <v>0.9</v>
      </c>
      <c r="H277" s="27"/>
    </row>
    <row r="278" spans="1:8" x14ac:dyDescent="0.25">
      <c r="A278" s="132" t="s">
        <v>85</v>
      </c>
      <c r="B278" s="132"/>
      <c r="C278" s="132" t="s">
        <v>280</v>
      </c>
      <c r="D278" s="225" t="s">
        <v>503</v>
      </c>
      <c r="E278" s="221"/>
      <c r="F278" s="132" t="s">
        <v>627</v>
      </c>
      <c r="G278" s="77">
        <v>6.3</v>
      </c>
      <c r="H278" s="12">
        <v>0</v>
      </c>
    </row>
    <row r="279" spans="1:8" x14ac:dyDescent="0.25">
      <c r="A279" s="132" t="s">
        <v>86</v>
      </c>
      <c r="B279" s="132"/>
      <c r="C279" s="132" t="s">
        <v>282</v>
      </c>
      <c r="D279" s="275" t="s">
        <v>1133</v>
      </c>
      <c r="E279" s="221"/>
      <c r="F279" s="132" t="s">
        <v>625</v>
      </c>
      <c r="G279" s="77">
        <v>369.56799999999998</v>
      </c>
      <c r="H279" s="12">
        <v>0</v>
      </c>
    </row>
    <row r="280" spans="1:8" ht="12.15" customHeight="1" x14ac:dyDescent="0.25">
      <c r="D280" s="241" t="s">
        <v>805</v>
      </c>
      <c r="E280" s="242"/>
      <c r="F280" s="242"/>
      <c r="G280" s="47">
        <v>77.38</v>
      </c>
    </row>
    <row r="281" spans="1:8" ht="12.15" customHeight="1" x14ac:dyDescent="0.25">
      <c r="A281" s="132"/>
      <c r="B281" s="132"/>
      <c r="C281" s="132"/>
      <c r="D281" s="241" t="s">
        <v>806</v>
      </c>
      <c r="E281" s="242"/>
      <c r="F281" s="241"/>
      <c r="G281" s="76">
        <v>66.3</v>
      </c>
      <c r="H281" s="27"/>
    </row>
    <row r="282" spans="1:8" ht="12.15" customHeight="1" x14ac:dyDescent="0.25">
      <c r="A282" s="132"/>
      <c r="B282" s="132"/>
      <c r="C282" s="132"/>
      <c r="D282" s="241" t="s">
        <v>826</v>
      </c>
      <c r="E282" s="242"/>
      <c r="F282" s="241"/>
      <c r="G282" s="76">
        <v>225.88800000000001</v>
      </c>
      <c r="H282" s="27"/>
    </row>
    <row r="283" spans="1:8" x14ac:dyDescent="0.25">
      <c r="A283" s="132" t="s">
        <v>87</v>
      </c>
      <c r="B283" s="132"/>
      <c r="C283" s="132" t="s">
        <v>283</v>
      </c>
      <c r="D283" s="225" t="s">
        <v>505</v>
      </c>
      <c r="E283" s="221"/>
      <c r="F283" s="132" t="s">
        <v>625</v>
      </c>
      <c r="G283" s="77">
        <v>29.795000000000002</v>
      </c>
      <c r="H283" s="12">
        <v>0</v>
      </c>
    </row>
    <row r="284" spans="1:8" ht="12.15" customHeight="1" x14ac:dyDescent="0.25">
      <c r="D284" s="241" t="s">
        <v>846</v>
      </c>
      <c r="E284" s="242"/>
      <c r="F284" s="242"/>
      <c r="G284" s="47">
        <v>11.64</v>
      </c>
    </row>
    <row r="285" spans="1:8" ht="12.15" customHeight="1" x14ac:dyDescent="0.25">
      <c r="A285" s="132"/>
      <c r="B285" s="132"/>
      <c r="C285" s="132"/>
      <c r="D285" s="241" t="s">
        <v>847</v>
      </c>
      <c r="E285" s="242"/>
      <c r="F285" s="241"/>
      <c r="G285" s="76">
        <v>9.2850000000000001</v>
      </c>
      <c r="H285" s="27"/>
    </row>
    <row r="286" spans="1:8" ht="12.15" customHeight="1" x14ac:dyDescent="0.25">
      <c r="A286" s="132"/>
      <c r="B286" s="132"/>
      <c r="C286" s="132"/>
      <c r="D286" s="241" t="s">
        <v>848</v>
      </c>
      <c r="E286" s="242"/>
      <c r="F286" s="241"/>
      <c r="G286" s="76">
        <v>8.8699999999999992</v>
      </c>
      <c r="H286" s="27"/>
    </row>
    <row r="287" spans="1:8" x14ac:dyDescent="0.25">
      <c r="A287" s="132" t="s">
        <v>88</v>
      </c>
      <c r="B287" s="132"/>
      <c r="C287" s="132" t="s">
        <v>284</v>
      </c>
      <c r="D287" s="225" t="s">
        <v>506</v>
      </c>
      <c r="E287" s="221"/>
      <c r="F287" s="132" t="s">
        <v>627</v>
      </c>
      <c r="G287" s="77">
        <v>0.64300000000000002</v>
      </c>
      <c r="H287" s="12">
        <v>0</v>
      </c>
    </row>
    <row r="288" spans="1:8" x14ac:dyDescent="0.25">
      <c r="A288" s="134" t="s">
        <v>89</v>
      </c>
      <c r="B288" s="134"/>
      <c r="C288" s="134" t="s">
        <v>286</v>
      </c>
      <c r="D288" s="279" t="s">
        <v>1134</v>
      </c>
      <c r="E288" s="231"/>
      <c r="F288" s="134" t="s">
        <v>628</v>
      </c>
      <c r="G288" s="78">
        <v>2</v>
      </c>
      <c r="H288" s="13">
        <v>0</v>
      </c>
    </row>
    <row r="289" spans="1:8" ht="12.15" customHeight="1" x14ac:dyDescent="0.25">
      <c r="D289" s="248" t="s">
        <v>849</v>
      </c>
      <c r="E289" s="249"/>
      <c r="F289" s="249"/>
      <c r="G289" s="48">
        <v>2</v>
      </c>
    </row>
    <row r="290" spans="1:8" x14ac:dyDescent="0.25">
      <c r="A290" s="134" t="s">
        <v>90</v>
      </c>
      <c r="B290" s="134"/>
      <c r="C290" s="134" t="s">
        <v>287</v>
      </c>
      <c r="D290" s="279" t="s">
        <v>1135</v>
      </c>
      <c r="E290" s="231"/>
      <c r="F290" s="134" t="s">
        <v>628</v>
      </c>
      <c r="G290" s="78">
        <v>1</v>
      </c>
      <c r="H290" s="13">
        <v>0</v>
      </c>
    </row>
    <row r="291" spans="1:8" ht="12.15" customHeight="1" x14ac:dyDescent="0.25">
      <c r="D291" s="248" t="s">
        <v>850</v>
      </c>
      <c r="E291" s="249"/>
      <c r="F291" s="249"/>
      <c r="G291" s="48">
        <v>1</v>
      </c>
    </row>
    <row r="292" spans="1:8" x14ac:dyDescent="0.25">
      <c r="A292" s="132" t="s">
        <v>91</v>
      </c>
      <c r="B292" s="132"/>
      <c r="C292" s="132" t="s">
        <v>288</v>
      </c>
      <c r="D292" s="225" t="s">
        <v>508</v>
      </c>
      <c r="E292" s="221"/>
      <c r="F292" s="132" t="s">
        <v>628</v>
      </c>
      <c r="G292" s="77">
        <v>3</v>
      </c>
      <c r="H292" s="12">
        <v>0</v>
      </c>
    </row>
    <row r="293" spans="1:8" ht="12.15" customHeight="1" x14ac:dyDescent="0.25">
      <c r="D293" s="241" t="s">
        <v>849</v>
      </c>
      <c r="E293" s="242"/>
      <c r="F293" s="242"/>
      <c r="G293" s="47">
        <v>2</v>
      </c>
    </row>
    <row r="294" spans="1:8" ht="12.15" customHeight="1" x14ac:dyDescent="0.25">
      <c r="A294" s="132"/>
      <c r="B294" s="132"/>
      <c r="C294" s="132"/>
      <c r="D294" s="241" t="s">
        <v>850</v>
      </c>
      <c r="E294" s="242"/>
      <c r="F294" s="241"/>
      <c r="G294" s="76">
        <v>1</v>
      </c>
      <c r="H294" s="27"/>
    </row>
    <row r="295" spans="1:8" x14ac:dyDescent="0.25">
      <c r="A295" s="134" t="s">
        <v>92</v>
      </c>
      <c r="B295" s="134"/>
      <c r="C295" s="134" t="s">
        <v>289</v>
      </c>
      <c r="D295" s="279" t="s">
        <v>1136</v>
      </c>
      <c r="E295" s="231"/>
      <c r="F295" s="134" t="s">
        <v>628</v>
      </c>
      <c r="G295" s="78">
        <v>3</v>
      </c>
      <c r="H295" s="13">
        <v>0</v>
      </c>
    </row>
    <row r="296" spans="1:8" ht="12.15" customHeight="1" x14ac:dyDescent="0.25">
      <c r="D296" s="248" t="s">
        <v>851</v>
      </c>
      <c r="E296" s="249"/>
      <c r="F296" s="249"/>
      <c r="G296" s="48">
        <v>3</v>
      </c>
    </row>
    <row r="297" spans="1:8" x14ac:dyDescent="0.25">
      <c r="A297" s="132" t="s">
        <v>93</v>
      </c>
      <c r="B297" s="132"/>
      <c r="C297" s="132" t="s">
        <v>290</v>
      </c>
      <c r="D297" s="225" t="s">
        <v>509</v>
      </c>
      <c r="E297" s="221"/>
      <c r="F297" s="132" t="s">
        <v>628</v>
      </c>
      <c r="G297" s="77">
        <v>3</v>
      </c>
      <c r="H297" s="12">
        <v>0</v>
      </c>
    </row>
    <row r="298" spans="1:8" ht="12.15" customHeight="1" x14ac:dyDescent="0.25">
      <c r="D298" s="241" t="s">
        <v>851</v>
      </c>
      <c r="E298" s="242"/>
      <c r="F298" s="242"/>
      <c r="G298" s="47">
        <v>3</v>
      </c>
    </row>
    <row r="299" spans="1:8" x14ac:dyDescent="0.25">
      <c r="A299" s="134" t="s">
        <v>94</v>
      </c>
      <c r="B299" s="134"/>
      <c r="C299" s="134" t="s">
        <v>291</v>
      </c>
      <c r="D299" s="279" t="s">
        <v>1137</v>
      </c>
      <c r="E299" s="231"/>
      <c r="F299" s="134" t="s">
        <v>629</v>
      </c>
      <c r="G299" s="78">
        <v>38.32</v>
      </c>
      <c r="H299" s="13">
        <v>0</v>
      </c>
    </row>
    <row r="300" spans="1:8" ht="12.15" customHeight="1" x14ac:dyDescent="0.25">
      <c r="D300" s="248" t="s">
        <v>769</v>
      </c>
      <c r="E300" s="249"/>
      <c r="F300" s="249"/>
      <c r="G300" s="48">
        <v>10.119999999999999</v>
      </c>
    </row>
    <row r="301" spans="1:8" ht="12.15" customHeight="1" x14ac:dyDescent="0.25">
      <c r="A301" s="134"/>
      <c r="B301" s="134"/>
      <c r="C301" s="134"/>
      <c r="D301" s="248" t="s">
        <v>771</v>
      </c>
      <c r="E301" s="249"/>
      <c r="F301" s="248"/>
      <c r="G301" s="79">
        <v>7.2</v>
      </c>
      <c r="H301" s="29"/>
    </row>
    <row r="302" spans="1:8" ht="12.15" customHeight="1" x14ac:dyDescent="0.25">
      <c r="A302" s="134"/>
      <c r="B302" s="134"/>
      <c r="C302" s="134"/>
      <c r="D302" s="248" t="s">
        <v>772</v>
      </c>
      <c r="E302" s="249"/>
      <c r="F302" s="248"/>
      <c r="G302" s="79">
        <v>4.8</v>
      </c>
      <c r="H302" s="29"/>
    </row>
    <row r="303" spans="1:8" ht="12.15" customHeight="1" x14ac:dyDescent="0.25">
      <c r="A303" s="134"/>
      <c r="B303" s="134"/>
      <c r="C303" s="134"/>
      <c r="D303" s="248" t="s">
        <v>774</v>
      </c>
      <c r="E303" s="249"/>
      <c r="F303" s="248"/>
      <c r="G303" s="79">
        <v>16.2</v>
      </c>
      <c r="H303" s="29"/>
    </row>
    <row r="304" spans="1:8" x14ac:dyDescent="0.25">
      <c r="A304" s="134" t="s">
        <v>95</v>
      </c>
      <c r="B304" s="134"/>
      <c r="C304" s="134" t="s">
        <v>292</v>
      </c>
      <c r="D304" s="279" t="s">
        <v>1138</v>
      </c>
      <c r="E304" s="231"/>
      <c r="F304" s="134" t="s">
        <v>629</v>
      </c>
      <c r="G304" s="78">
        <v>38.32</v>
      </c>
      <c r="H304" s="13">
        <v>0</v>
      </c>
    </row>
    <row r="305" spans="1:8" ht="12.15" customHeight="1" x14ac:dyDescent="0.25">
      <c r="D305" s="248" t="s">
        <v>769</v>
      </c>
      <c r="E305" s="249"/>
      <c r="F305" s="249"/>
      <c r="G305" s="48">
        <v>10.119999999999999</v>
      </c>
    </row>
    <row r="306" spans="1:8" ht="12.15" customHeight="1" x14ac:dyDescent="0.25">
      <c r="A306" s="134"/>
      <c r="B306" s="134"/>
      <c r="C306" s="134"/>
      <c r="D306" s="248" t="s">
        <v>771</v>
      </c>
      <c r="E306" s="249"/>
      <c r="F306" s="248"/>
      <c r="G306" s="79">
        <v>7.2</v>
      </c>
      <c r="H306" s="29"/>
    </row>
    <row r="307" spans="1:8" ht="12.15" customHeight="1" x14ac:dyDescent="0.25">
      <c r="A307" s="134"/>
      <c r="B307" s="134"/>
      <c r="C307" s="134"/>
      <c r="D307" s="248" t="s">
        <v>772</v>
      </c>
      <c r="E307" s="249"/>
      <c r="F307" s="248"/>
      <c r="G307" s="79">
        <v>4.8</v>
      </c>
      <c r="H307" s="29"/>
    </row>
    <row r="308" spans="1:8" ht="12.15" customHeight="1" x14ac:dyDescent="0.25">
      <c r="A308" s="134"/>
      <c r="B308" s="134"/>
      <c r="C308" s="134"/>
      <c r="D308" s="248" t="s">
        <v>774</v>
      </c>
      <c r="E308" s="249"/>
      <c r="F308" s="248"/>
      <c r="G308" s="79">
        <v>16.2</v>
      </c>
      <c r="H308" s="29"/>
    </row>
    <row r="309" spans="1:8" x14ac:dyDescent="0.25">
      <c r="A309" s="134" t="s">
        <v>96</v>
      </c>
      <c r="B309" s="134"/>
      <c r="C309" s="134" t="s">
        <v>293</v>
      </c>
      <c r="D309" s="235" t="s">
        <v>510</v>
      </c>
      <c r="E309" s="231"/>
      <c r="F309" s="134" t="s">
        <v>625</v>
      </c>
      <c r="G309" s="78">
        <v>8.19</v>
      </c>
      <c r="H309" s="13">
        <v>0</v>
      </c>
    </row>
    <row r="310" spans="1:8" ht="12.15" customHeight="1" x14ac:dyDescent="0.25">
      <c r="D310" s="248" t="s">
        <v>782</v>
      </c>
      <c r="E310" s="249"/>
      <c r="F310" s="249"/>
      <c r="G310" s="48">
        <v>1.44</v>
      </c>
    </row>
    <row r="311" spans="1:8" ht="12.15" customHeight="1" x14ac:dyDescent="0.25">
      <c r="A311" s="134"/>
      <c r="B311" s="134"/>
      <c r="C311" s="134"/>
      <c r="D311" s="248" t="s">
        <v>852</v>
      </c>
      <c r="E311" s="249"/>
      <c r="F311" s="248"/>
      <c r="G311" s="79">
        <v>1.35</v>
      </c>
      <c r="H311" s="29"/>
    </row>
    <row r="312" spans="1:8" ht="12.15" customHeight="1" x14ac:dyDescent="0.25">
      <c r="A312" s="134"/>
      <c r="B312" s="134"/>
      <c r="C312" s="134"/>
      <c r="D312" s="248" t="s">
        <v>784</v>
      </c>
      <c r="E312" s="249"/>
      <c r="F312" s="248"/>
      <c r="G312" s="79">
        <v>5.4</v>
      </c>
      <c r="H312" s="29"/>
    </row>
    <row r="313" spans="1:8" x14ac:dyDescent="0.25">
      <c r="A313" s="137" t="s">
        <v>97</v>
      </c>
      <c r="B313" s="137"/>
      <c r="C313" s="137" t="s">
        <v>294</v>
      </c>
      <c r="D313" s="245" t="s">
        <v>511</v>
      </c>
      <c r="E313" s="224"/>
      <c r="F313" s="137" t="s">
        <v>632</v>
      </c>
      <c r="G313" s="92">
        <v>2</v>
      </c>
      <c r="H313" s="111">
        <v>0</v>
      </c>
    </row>
    <row r="314" spans="1:8" ht="12.15" customHeight="1" x14ac:dyDescent="0.25">
      <c r="D314" s="241" t="s">
        <v>853</v>
      </c>
      <c r="E314" s="242"/>
      <c r="F314" s="242"/>
      <c r="G314" s="47">
        <v>2</v>
      </c>
    </row>
    <row r="315" spans="1:8" x14ac:dyDescent="0.25">
      <c r="A315" s="137" t="s">
        <v>98</v>
      </c>
      <c r="B315" s="137"/>
      <c r="C315" s="137" t="s">
        <v>295</v>
      </c>
      <c r="D315" s="245" t="s">
        <v>512</v>
      </c>
      <c r="E315" s="224"/>
      <c r="F315" s="137" t="s">
        <v>632</v>
      </c>
      <c r="G315" s="92">
        <v>2</v>
      </c>
      <c r="H315" s="111">
        <v>0</v>
      </c>
    </row>
    <row r="316" spans="1:8" ht="12.15" customHeight="1" x14ac:dyDescent="0.25">
      <c r="D316" s="241" t="s">
        <v>854</v>
      </c>
      <c r="E316" s="242"/>
      <c r="F316" s="242"/>
      <c r="G316" s="47">
        <v>2</v>
      </c>
    </row>
    <row r="317" spans="1:8" x14ac:dyDescent="0.25">
      <c r="A317" s="132" t="s">
        <v>99</v>
      </c>
      <c r="B317" s="132"/>
      <c r="C317" s="132" t="s">
        <v>296</v>
      </c>
      <c r="D317" s="225" t="s">
        <v>513</v>
      </c>
      <c r="E317" s="221"/>
      <c r="F317" s="132" t="s">
        <v>627</v>
      </c>
      <c r="G317" s="77">
        <v>0.29099999999999998</v>
      </c>
      <c r="H317" s="12">
        <v>0</v>
      </c>
    </row>
    <row r="318" spans="1:8" x14ac:dyDescent="0.25">
      <c r="A318" s="134" t="s">
        <v>100</v>
      </c>
      <c r="B318" s="134"/>
      <c r="C318" s="134" t="s">
        <v>298</v>
      </c>
      <c r="D318" s="235" t="s">
        <v>515</v>
      </c>
      <c r="E318" s="231"/>
      <c r="F318" s="134" t="s">
        <v>632</v>
      </c>
      <c r="G318" s="78">
        <v>2</v>
      </c>
      <c r="H318" s="13">
        <v>0</v>
      </c>
    </row>
    <row r="319" spans="1:8" ht="12.15" customHeight="1" x14ac:dyDescent="0.25">
      <c r="D319" s="248" t="s">
        <v>855</v>
      </c>
      <c r="E319" s="249"/>
      <c r="F319" s="249"/>
      <c r="G319" s="48">
        <v>2</v>
      </c>
    </row>
    <row r="320" spans="1:8" x14ac:dyDescent="0.25">
      <c r="A320" s="132" t="s">
        <v>101</v>
      </c>
      <c r="B320" s="132"/>
      <c r="C320" s="132" t="s">
        <v>299</v>
      </c>
      <c r="D320" s="225" t="s">
        <v>516</v>
      </c>
      <c r="E320" s="221"/>
      <c r="F320" s="132" t="s">
        <v>628</v>
      </c>
      <c r="G320" s="77">
        <v>2</v>
      </c>
      <c r="H320" s="12">
        <v>0</v>
      </c>
    </row>
    <row r="321" spans="1:8" ht="12.15" customHeight="1" x14ac:dyDescent="0.25">
      <c r="D321" s="241" t="s">
        <v>855</v>
      </c>
      <c r="E321" s="242"/>
      <c r="F321" s="242"/>
      <c r="G321" s="47">
        <v>2</v>
      </c>
    </row>
    <row r="322" spans="1:8" x14ac:dyDescent="0.25">
      <c r="A322" s="132" t="s">
        <v>102</v>
      </c>
      <c r="B322" s="132"/>
      <c r="C322" s="132" t="s">
        <v>300</v>
      </c>
      <c r="D322" s="225" t="s">
        <v>517</v>
      </c>
      <c r="E322" s="221"/>
      <c r="F322" s="132" t="s">
        <v>627</v>
      </c>
      <c r="G322" s="77">
        <v>0.502</v>
      </c>
      <c r="H322" s="12">
        <v>0</v>
      </c>
    </row>
    <row r="323" spans="1:8" x14ac:dyDescent="0.25">
      <c r="A323" s="137" t="s">
        <v>103</v>
      </c>
      <c r="B323" s="137"/>
      <c r="C323" s="137" t="s">
        <v>302</v>
      </c>
      <c r="D323" s="245" t="s">
        <v>519</v>
      </c>
      <c r="E323" s="224"/>
      <c r="F323" s="137" t="s">
        <v>629</v>
      </c>
      <c r="G323" s="92">
        <v>40.81</v>
      </c>
      <c r="H323" s="111">
        <v>0</v>
      </c>
    </row>
    <row r="324" spans="1:8" ht="12.15" customHeight="1" x14ac:dyDescent="0.25">
      <c r="D324" s="241" t="s">
        <v>856</v>
      </c>
      <c r="E324" s="242"/>
      <c r="F324" s="242"/>
      <c r="G324" s="47">
        <v>20.010000000000002</v>
      </c>
    </row>
    <row r="325" spans="1:8" ht="12.15" customHeight="1" x14ac:dyDescent="0.25">
      <c r="A325" s="136"/>
      <c r="B325" s="136"/>
      <c r="C325" s="136"/>
      <c r="D325" s="243" t="s">
        <v>857</v>
      </c>
      <c r="E325" s="244"/>
      <c r="F325" s="243"/>
      <c r="G325" s="110">
        <v>20.8</v>
      </c>
      <c r="H325" s="91"/>
    </row>
    <row r="326" spans="1:8" x14ac:dyDescent="0.25">
      <c r="A326" s="137" t="s">
        <v>104</v>
      </c>
      <c r="B326" s="137"/>
      <c r="C326" s="137" t="s">
        <v>303</v>
      </c>
      <c r="D326" s="245" t="s">
        <v>520</v>
      </c>
      <c r="E326" s="224"/>
      <c r="F326" s="137" t="s">
        <v>625</v>
      </c>
      <c r="G326" s="92">
        <v>48.73</v>
      </c>
      <c r="H326" s="111">
        <v>0</v>
      </c>
    </row>
    <row r="327" spans="1:8" ht="12.15" customHeight="1" x14ac:dyDescent="0.25">
      <c r="D327" s="241" t="s">
        <v>763</v>
      </c>
      <c r="E327" s="242"/>
      <c r="F327" s="242"/>
      <c r="G327" s="47">
        <v>23.09</v>
      </c>
    </row>
    <row r="328" spans="1:8" ht="12.15" customHeight="1" x14ac:dyDescent="0.25">
      <c r="A328" s="136"/>
      <c r="B328" s="136"/>
      <c r="C328" s="136"/>
      <c r="D328" s="243" t="s">
        <v>764</v>
      </c>
      <c r="E328" s="244"/>
      <c r="F328" s="243"/>
      <c r="G328" s="110">
        <v>25.64</v>
      </c>
      <c r="H328" s="91"/>
    </row>
    <row r="329" spans="1:8" x14ac:dyDescent="0.25">
      <c r="A329" s="137" t="s">
        <v>105</v>
      </c>
      <c r="B329" s="137"/>
      <c r="C329" s="137" t="s">
        <v>305</v>
      </c>
      <c r="D329" s="245" t="s">
        <v>522</v>
      </c>
      <c r="E329" s="224"/>
      <c r="F329" s="137" t="s">
        <v>625</v>
      </c>
      <c r="G329" s="92">
        <v>22.08</v>
      </c>
      <c r="H329" s="111">
        <v>0</v>
      </c>
    </row>
    <row r="330" spans="1:8" ht="12.15" customHeight="1" x14ac:dyDescent="0.25">
      <c r="D330" s="241" t="s">
        <v>807</v>
      </c>
      <c r="E330" s="242"/>
      <c r="F330" s="242"/>
      <c r="G330" s="47">
        <v>19.47</v>
      </c>
    </row>
    <row r="331" spans="1:8" ht="12.15" customHeight="1" x14ac:dyDescent="0.25">
      <c r="A331" s="136"/>
      <c r="B331" s="136"/>
      <c r="C331" s="136"/>
      <c r="D331" s="243" t="s">
        <v>760</v>
      </c>
      <c r="E331" s="244"/>
      <c r="F331" s="243"/>
      <c r="G331" s="110">
        <v>2.61</v>
      </c>
      <c r="H331" s="91"/>
    </row>
    <row r="332" spans="1:8" x14ac:dyDescent="0.25">
      <c r="A332" s="137" t="s">
        <v>106</v>
      </c>
      <c r="B332" s="137"/>
      <c r="C332" s="137" t="s">
        <v>306</v>
      </c>
      <c r="D332" s="245" t="s">
        <v>524</v>
      </c>
      <c r="E332" s="224"/>
      <c r="F332" s="137" t="s">
        <v>627</v>
      </c>
      <c r="G332" s="92">
        <v>2.1999999999999999E-2</v>
      </c>
      <c r="H332" s="111">
        <v>0</v>
      </c>
    </row>
    <row r="333" spans="1:8" x14ac:dyDescent="0.25">
      <c r="A333" s="134" t="s">
        <v>107</v>
      </c>
      <c r="B333" s="134"/>
      <c r="C333" s="134" t="s">
        <v>308</v>
      </c>
      <c r="D333" s="279" t="s">
        <v>1140</v>
      </c>
      <c r="E333" s="231"/>
      <c r="F333" s="134" t="s">
        <v>633</v>
      </c>
      <c r="G333" s="78">
        <v>38.101999999999997</v>
      </c>
      <c r="H333" s="13">
        <v>0</v>
      </c>
    </row>
    <row r="334" spans="1:8" ht="12.15" customHeight="1" x14ac:dyDescent="0.25">
      <c r="D334" s="248" t="s">
        <v>858</v>
      </c>
      <c r="E334" s="249"/>
      <c r="F334" s="249"/>
      <c r="G334" s="48">
        <v>11.682</v>
      </c>
    </row>
    <row r="335" spans="1:8" ht="12.15" customHeight="1" x14ac:dyDescent="0.25">
      <c r="A335" s="134"/>
      <c r="B335" s="134"/>
      <c r="C335" s="134"/>
      <c r="D335" s="248" t="s">
        <v>859</v>
      </c>
      <c r="E335" s="249"/>
      <c r="F335" s="248"/>
      <c r="G335" s="79">
        <v>1.5660000000000001</v>
      </c>
      <c r="H335" s="29"/>
    </row>
    <row r="336" spans="1:8" ht="12.15" customHeight="1" x14ac:dyDescent="0.25">
      <c r="A336" s="134"/>
      <c r="B336" s="134"/>
      <c r="C336" s="134"/>
      <c r="D336" s="248" t="s">
        <v>860</v>
      </c>
      <c r="E336" s="249"/>
      <c r="F336" s="248"/>
      <c r="G336" s="79">
        <v>7.9139999999999997</v>
      </c>
      <c r="H336" s="29"/>
    </row>
    <row r="337" spans="1:8" ht="12.15" customHeight="1" x14ac:dyDescent="0.25">
      <c r="A337" s="134"/>
      <c r="B337" s="134"/>
      <c r="C337" s="134"/>
      <c r="D337" s="248" t="s">
        <v>861</v>
      </c>
      <c r="E337" s="249"/>
      <c r="F337" s="248"/>
      <c r="G337" s="79">
        <v>11.97</v>
      </c>
      <c r="H337" s="29"/>
    </row>
    <row r="338" spans="1:8" ht="12.15" customHeight="1" x14ac:dyDescent="0.25">
      <c r="A338" s="134"/>
      <c r="B338" s="134"/>
      <c r="C338" s="134"/>
      <c r="D338" s="248" t="s">
        <v>862</v>
      </c>
      <c r="E338" s="249"/>
      <c r="F338" s="248"/>
      <c r="G338" s="79">
        <v>4.97</v>
      </c>
      <c r="H338" s="29"/>
    </row>
    <row r="339" spans="1:8" x14ac:dyDescent="0.25">
      <c r="A339" s="137" t="s">
        <v>108</v>
      </c>
      <c r="B339" s="137"/>
      <c r="C339" s="137" t="s">
        <v>309</v>
      </c>
      <c r="D339" s="245" t="s">
        <v>526</v>
      </c>
      <c r="E339" s="224"/>
      <c r="F339" s="137" t="s">
        <v>625</v>
      </c>
      <c r="G339" s="92">
        <v>55.22</v>
      </c>
      <c r="H339" s="111">
        <v>0</v>
      </c>
    </row>
    <row r="340" spans="1:8" ht="12.15" customHeight="1" x14ac:dyDescent="0.25">
      <c r="D340" s="241" t="s">
        <v>759</v>
      </c>
      <c r="E340" s="242"/>
      <c r="F340" s="242"/>
      <c r="G340" s="47">
        <v>19.47</v>
      </c>
    </row>
    <row r="341" spans="1:8" ht="12.15" customHeight="1" x14ac:dyDescent="0.25">
      <c r="A341" s="136"/>
      <c r="B341" s="136"/>
      <c r="C341" s="136"/>
      <c r="D341" s="243" t="s">
        <v>760</v>
      </c>
      <c r="E341" s="244"/>
      <c r="F341" s="243"/>
      <c r="G341" s="110">
        <v>2.61</v>
      </c>
      <c r="H341" s="91"/>
    </row>
    <row r="342" spans="1:8" ht="12.15" customHeight="1" x14ac:dyDescent="0.25">
      <c r="A342" s="136"/>
      <c r="B342" s="136"/>
      <c r="C342" s="136"/>
      <c r="D342" s="243" t="s">
        <v>761</v>
      </c>
      <c r="E342" s="244"/>
      <c r="F342" s="243"/>
      <c r="G342" s="110">
        <v>13.19</v>
      </c>
      <c r="H342" s="91"/>
    </row>
    <row r="343" spans="1:8" ht="12.15" customHeight="1" x14ac:dyDescent="0.25">
      <c r="A343" s="137"/>
      <c r="B343" s="137"/>
      <c r="C343" s="137"/>
      <c r="D343" s="246" t="s">
        <v>762</v>
      </c>
      <c r="E343" s="247"/>
      <c r="F343" s="246"/>
      <c r="G343" s="112">
        <v>19.95</v>
      </c>
      <c r="H343" s="95"/>
    </row>
    <row r="344" spans="1:8" x14ac:dyDescent="0.25">
      <c r="A344" s="134" t="s">
        <v>109</v>
      </c>
      <c r="B344" s="134"/>
      <c r="C344" s="134" t="s">
        <v>310</v>
      </c>
      <c r="D344" s="279" t="s">
        <v>1139</v>
      </c>
      <c r="E344" s="231"/>
      <c r="F344" s="134" t="s">
        <v>633</v>
      </c>
      <c r="G344" s="78">
        <v>438.17099999999999</v>
      </c>
      <c r="H344" s="13">
        <v>0</v>
      </c>
    </row>
    <row r="345" spans="1:8" ht="12.15" customHeight="1" x14ac:dyDescent="0.25">
      <c r="D345" s="248" t="s">
        <v>863</v>
      </c>
      <c r="E345" s="249"/>
      <c r="F345" s="249"/>
      <c r="G345" s="48">
        <v>134.34299999999999</v>
      </c>
    </row>
    <row r="346" spans="1:8" ht="12.15" customHeight="1" x14ac:dyDescent="0.25">
      <c r="A346" s="134"/>
      <c r="B346" s="134"/>
      <c r="C346" s="134"/>
      <c r="D346" s="248" t="s">
        <v>864</v>
      </c>
      <c r="E346" s="249"/>
      <c r="F346" s="248"/>
      <c r="G346" s="79">
        <v>18.009</v>
      </c>
      <c r="H346" s="29"/>
    </row>
    <row r="347" spans="1:8" ht="12.15" customHeight="1" x14ac:dyDescent="0.25">
      <c r="A347" s="134"/>
      <c r="B347" s="134"/>
      <c r="C347" s="134"/>
      <c r="D347" s="248" t="s">
        <v>865</v>
      </c>
      <c r="E347" s="249"/>
      <c r="F347" s="248"/>
      <c r="G347" s="79">
        <v>91.010999999999996</v>
      </c>
      <c r="H347" s="29"/>
    </row>
    <row r="348" spans="1:8" ht="12.15" customHeight="1" x14ac:dyDescent="0.25">
      <c r="A348" s="134"/>
      <c r="B348" s="134"/>
      <c r="C348" s="134"/>
      <c r="D348" s="248" t="s">
        <v>866</v>
      </c>
      <c r="E348" s="249"/>
      <c r="F348" s="248"/>
      <c r="G348" s="79">
        <v>137.655</v>
      </c>
      <c r="H348" s="29"/>
    </row>
    <row r="349" spans="1:8" ht="12.15" customHeight="1" x14ac:dyDescent="0.25">
      <c r="A349" s="134"/>
      <c r="B349" s="134"/>
      <c r="C349" s="134"/>
      <c r="D349" s="248" t="s">
        <v>867</v>
      </c>
      <c r="E349" s="249"/>
      <c r="F349" s="248"/>
      <c r="G349" s="79">
        <v>57.152999999999999</v>
      </c>
      <c r="H349" s="29"/>
    </row>
    <row r="350" spans="1:8" x14ac:dyDescent="0.25">
      <c r="A350" s="137" t="s">
        <v>110</v>
      </c>
      <c r="B350" s="137"/>
      <c r="C350" s="137" t="s">
        <v>311</v>
      </c>
      <c r="D350" s="245" t="s">
        <v>527</v>
      </c>
      <c r="E350" s="224"/>
      <c r="F350" s="137" t="s">
        <v>625</v>
      </c>
      <c r="G350" s="92">
        <v>55.22</v>
      </c>
      <c r="H350" s="111">
        <v>0</v>
      </c>
    </row>
    <row r="351" spans="1:8" ht="12.15" customHeight="1" x14ac:dyDescent="0.25">
      <c r="D351" s="241" t="s">
        <v>759</v>
      </c>
      <c r="E351" s="242"/>
      <c r="F351" s="242"/>
      <c r="G351" s="47">
        <v>19.47</v>
      </c>
    </row>
    <row r="352" spans="1:8" ht="12.15" customHeight="1" x14ac:dyDescent="0.25">
      <c r="A352" s="136"/>
      <c r="B352" s="136"/>
      <c r="C352" s="136"/>
      <c r="D352" s="243" t="s">
        <v>760</v>
      </c>
      <c r="E352" s="244"/>
      <c r="F352" s="243"/>
      <c r="G352" s="110">
        <v>2.61</v>
      </c>
      <c r="H352" s="91"/>
    </row>
    <row r="353" spans="1:8" ht="12.15" customHeight="1" x14ac:dyDescent="0.25">
      <c r="A353" s="136"/>
      <c r="B353" s="136"/>
      <c r="C353" s="136"/>
      <c r="D353" s="243" t="s">
        <v>761</v>
      </c>
      <c r="E353" s="244"/>
      <c r="F353" s="243"/>
      <c r="G353" s="110">
        <v>13.19</v>
      </c>
      <c r="H353" s="91"/>
    </row>
    <row r="354" spans="1:8" ht="12.15" customHeight="1" x14ac:dyDescent="0.25">
      <c r="A354" s="136"/>
      <c r="B354" s="136"/>
      <c r="C354" s="136"/>
      <c r="D354" s="243" t="s">
        <v>762</v>
      </c>
      <c r="E354" s="244"/>
      <c r="F354" s="243"/>
      <c r="G354" s="110">
        <v>19.95</v>
      </c>
      <c r="H354" s="91"/>
    </row>
    <row r="355" spans="1:8" x14ac:dyDescent="0.25">
      <c r="A355" s="138" t="s">
        <v>111</v>
      </c>
      <c r="B355" s="138"/>
      <c r="C355" s="138" t="s">
        <v>312</v>
      </c>
      <c r="D355" s="277" t="s">
        <v>1141</v>
      </c>
      <c r="E355" s="232"/>
      <c r="F355" s="138" t="s">
        <v>633</v>
      </c>
      <c r="G355" s="97">
        <v>181.233</v>
      </c>
      <c r="H355" s="113">
        <v>0</v>
      </c>
    </row>
    <row r="356" spans="1:8" ht="12.15" customHeight="1" x14ac:dyDescent="0.25">
      <c r="D356" s="248" t="s">
        <v>868</v>
      </c>
      <c r="E356" s="249"/>
      <c r="F356" s="249"/>
      <c r="G356" s="48">
        <v>10.709</v>
      </c>
    </row>
    <row r="357" spans="1:8" ht="12.15" customHeight="1" x14ac:dyDescent="0.25">
      <c r="A357" s="102"/>
      <c r="B357" s="102"/>
      <c r="C357" s="102"/>
      <c r="D357" s="250" t="s">
        <v>869</v>
      </c>
      <c r="E357" s="251"/>
      <c r="F357" s="250"/>
      <c r="G357" s="114">
        <v>1.4359999999999999</v>
      </c>
      <c r="H357" s="106"/>
    </row>
    <row r="358" spans="1:8" ht="12.15" customHeight="1" x14ac:dyDescent="0.25">
      <c r="A358" s="102"/>
      <c r="B358" s="102"/>
      <c r="C358" s="102"/>
      <c r="D358" s="250" t="s">
        <v>870</v>
      </c>
      <c r="E358" s="251"/>
      <c r="F358" s="250"/>
      <c r="G358" s="114">
        <v>7.2549999999999999</v>
      </c>
      <c r="H358" s="106"/>
    </row>
    <row r="359" spans="1:8" ht="12.15" customHeight="1" x14ac:dyDescent="0.25">
      <c r="A359" s="102"/>
      <c r="B359" s="102"/>
      <c r="C359" s="102"/>
      <c r="D359" s="250" t="s">
        <v>871</v>
      </c>
      <c r="E359" s="251"/>
      <c r="F359" s="250"/>
      <c r="G359" s="114">
        <v>12.7</v>
      </c>
      <c r="H359" s="106"/>
    </row>
    <row r="360" spans="1:8" ht="12.15" customHeight="1" x14ac:dyDescent="0.25">
      <c r="A360" s="102"/>
      <c r="B360" s="102"/>
      <c r="C360" s="102"/>
      <c r="D360" s="250" t="s">
        <v>872</v>
      </c>
      <c r="E360" s="251"/>
      <c r="F360" s="250"/>
      <c r="G360" s="114">
        <v>14.102</v>
      </c>
      <c r="H360" s="106"/>
    </row>
    <row r="361" spans="1:8" ht="12.15" customHeight="1" x14ac:dyDescent="0.25">
      <c r="A361" s="102"/>
      <c r="B361" s="102"/>
      <c r="C361" s="102"/>
      <c r="D361" s="250" t="s">
        <v>873</v>
      </c>
      <c r="E361" s="251"/>
      <c r="F361" s="250"/>
      <c r="G361" s="114">
        <v>111.392</v>
      </c>
      <c r="H361" s="106"/>
    </row>
    <row r="362" spans="1:8" ht="12.15" customHeight="1" x14ac:dyDescent="0.25">
      <c r="A362" s="102"/>
      <c r="B362" s="102"/>
      <c r="C362" s="102"/>
      <c r="D362" s="250" t="s">
        <v>874</v>
      </c>
      <c r="E362" s="251"/>
      <c r="F362" s="250"/>
      <c r="G362" s="114">
        <v>23.638999999999999</v>
      </c>
      <c r="H362" s="106"/>
    </row>
    <row r="363" spans="1:8" x14ac:dyDescent="0.25">
      <c r="A363" s="137" t="s">
        <v>112</v>
      </c>
      <c r="B363" s="137"/>
      <c r="C363" s="137" t="s">
        <v>313</v>
      </c>
      <c r="D363" s="245" t="s">
        <v>528</v>
      </c>
      <c r="E363" s="224"/>
      <c r="F363" s="137" t="s">
        <v>625</v>
      </c>
      <c r="G363" s="92">
        <v>55.22</v>
      </c>
      <c r="H363" s="111">
        <v>0</v>
      </c>
    </row>
    <row r="364" spans="1:8" ht="12.15" customHeight="1" x14ac:dyDescent="0.25">
      <c r="D364" s="241" t="s">
        <v>759</v>
      </c>
      <c r="E364" s="242"/>
      <c r="F364" s="242"/>
      <c r="G364" s="47">
        <v>19.47</v>
      </c>
    </row>
    <row r="365" spans="1:8" ht="12.15" customHeight="1" x14ac:dyDescent="0.25">
      <c r="A365" s="136"/>
      <c r="B365" s="136"/>
      <c r="C365" s="136"/>
      <c r="D365" s="243" t="s">
        <v>760</v>
      </c>
      <c r="E365" s="244"/>
      <c r="F365" s="243"/>
      <c r="G365" s="110">
        <v>2.61</v>
      </c>
      <c r="H365" s="91"/>
    </row>
    <row r="366" spans="1:8" ht="12.15" customHeight="1" x14ac:dyDescent="0.25">
      <c r="A366" s="136"/>
      <c r="B366" s="136"/>
      <c r="C366" s="136"/>
      <c r="D366" s="243" t="s">
        <v>761</v>
      </c>
      <c r="E366" s="244"/>
      <c r="F366" s="243"/>
      <c r="G366" s="110">
        <v>13.19</v>
      </c>
      <c r="H366" s="91"/>
    </row>
    <row r="367" spans="1:8" ht="12.15" customHeight="1" x14ac:dyDescent="0.25">
      <c r="A367" s="136"/>
      <c r="B367" s="136"/>
      <c r="C367" s="136"/>
      <c r="D367" s="243" t="s">
        <v>762</v>
      </c>
      <c r="E367" s="244"/>
      <c r="F367" s="243"/>
      <c r="G367" s="110">
        <v>19.95</v>
      </c>
      <c r="H367" s="91"/>
    </row>
    <row r="368" spans="1:8" x14ac:dyDescent="0.25">
      <c r="A368" s="137" t="s">
        <v>113</v>
      </c>
      <c r="B368" s="137"/>
      <c r="C368" s="137" t="s">
        <v>314</v>
      </c>
      <c r="D368" s="245" t="s">
        <v>529</v>
      </c>
      <c r="E368" s="224"/>
      <c r="F368" s="137" t="s">
        <v>627</v>
      </c>
      <c r="G368" s="92">
        <v>0.65800000000000003</v>
      </c>
      <c r="H368" s="111">
        <v>0</v>
      </c>
    </row>
    <row r="369" spans="1:8" x14ac:dyDescent="0.25">
      <c r="A369" s="132" t="s">
        <v>114</v>
      </c>
      <c r="B369" s="132"/>
      <c r="C369" s="132" t="s">
        <v>316</v>
      </c>
      <c r="D369" s="225" t="s">
        <v>531</v>
      </c>
      <c r="E369" s="221"/>
      <c r="F369" s="132" t="s">
        <v>625</v>
      </c>
      <c r="G369" s="77">
        <v>294.24700000000001</v>
      </c>
      <c r="H369" s="12">
        <v>0</v>
      </c>
    </row>
    <row r="370" spans="1:8" ht="12.15" customHeight="1" x14ac:dyDescent="0.25">
      <c r="D370" s="241" t="s">
        <v>875</v>
      </c>
      <c r="E370" s="242"/>
      <c r="F370" s="242"/>
      <c r="G370" s="47">
        <v>10.95</v>
      </c>
    </row>
    <row r="371" spans="1:8" ht="12.15" customHeight="1" x14ac:dyDescent="0.25">
      <c r="A371" s="132"/>
      <c r="B371" s="132"/>
      <c r="C371" s="132"/>
      <c r="D371" s="241" t="s">
        <v>876</v>
      </c>
      <c r="E371" s="242"/>
      <c r="F371" s="241"/>
      <c r="G371" s="76">
        <v>8.9250000000000007</v>
      </c>
      <c r="H371" s="27"/>
    </row>
    <row r="372" spans="1:8" ht="12.15" customHeight="1" x14ac:dyDescent="0.25">
      <c r="A372" s="132"/>
      <c r="B372" s="132"/>
      <c r="C372" s="132"/>
      <c r="D372" s="241" t="s">
        <v>877</v>
      </c>
      <c r="E372" s="242"/>
      <c r="F372" s="241"/>
      <c r="G372" s="76">
        <v>20.271999999999998</v>
      </c>
      <c r="H372" s="27"/>
    </row>
    <row r="373" spans="1:8" ht="12.15" customHeight="1" x14ac:dyDescent="0.25">
      <c r="A373" s="132"/>
      <c r="B373" s="132"/>
      <c r="C373" s="132"/>
      <c r="D373" s="241" t="s">
        <v>878</v>
      </c>
      <c r="E373" s="242"/>
      <c r="F373" s="241"/>
      <c r="G373" s="76">
        <v>14.48</v>
      </c>
      <c r="H373" s="27"/>
    </row>
    <row r="374" spans="1:8" ht="12.15" customHeight="1" x14ac:dyDescent="0.25">
      <c r="A374" s="132"/>
      <c r="B374" s="132"/>
      <c r="C374" s="132"/>
      <c r="D374" s="241" t="s">
        <v>879</v>
      </c>
      <c r="E374" s="242"/>
      <c r="F374" s="241"/>
      <c r="G374" s="76">
        <v>217.2</v>
      </c>
      <c r="H374" s="27"/>
    </row>
    <row r="375" spans="1:8" ht="12.15" customHeight="1" x14ac:dyDescent="0.25">
      <c r="A375" s="132"/>
      <c r="B375" s="132"/>
      <c r="C375" s="132"/>
      <c r="D375" s="241" t="s">
        <v>880</v>
      </c>
      <c r="E375" s="242"/>
      <c r="F375" s="241"/>
      <c r="G375" s="76">
        <v>11.92</v>
      </c>
      <c r="H375" s="27"/>
    </row>
    <row r="376" spans="1:8" ht="12.15" customHeight="1" x14ac:dyDescent="0.25">
      <c r="A376" s="132"/>
      <c r="B376" s="132"/>
      <c r="C376" s="132"/>
      <c r="D376" s="241" t="s">
        <v>881</v>
      </c>
      <c r="E376" s="242"/>
      <c r="F376" s="241"/>
      <c r="G376" s="76">
        <v>10.5</v>
      </c>
      <c r="H376" s="27"/>
    </row>
    <row r="377" spans="1:8" x14ac:dyDescent="0.25">
      <c r="A377" s="132" t="s">
        <v>115</v>
      </c>
      <c r="B377" s="132"/>
      <c r="C377" s="132" t="s">
        <v>317</v>
      </c>
      <c r="D377" s="225" t="s">
        <v>532</v>
      </c>
      <c r="E377" s="221"/>
      <c r="F377" s="132" t="s">
        <v>625</v>
      </c>
      <c r="G377" s="77">
        <v>141.523</v>
      </c>
      <c r="H377" s="12">
        <v>0</v>
      </c>
    </row>
    <row r="378" spans="1:8" ht="12.15" customHeight="1" x14ac:dyDescent="0.25">
      <c r="D378" s="241" t="s">
        <v>882</v>
      </c>
      <c r="E378" s="242"/>
      <c r="F378" s="242"/>
      <c r="G378" s="47">
        <v>45.622</v>
      </c>
    </row>
    <row r="379" spans="1:8" ht="12.15" customHeight="1" x14ac:dyDescent="0.25">
      <c r="A379" s="132"/>
      <c r="B379" s="132"/>
      <c r="C379" s="132"/>
      <c r="D379" s="241" t="s">
        <v>883</v>
      </c>
      <c r="E379" s="242"/>
      <c r="F379" s="241"/>
      <c r="G379" s="76">
        <v>33.405000000000001</v>
      </c>
      <c r="H379" s="27"/>
    </row>
    <row r="380" spans="1:8" ht="12.15" customHeight="1" x14ac:dyDescent="0.25">
      <c r="A380" s="132"/>
      <c r="B380" s="132"/>
      <c r="C380" s="132"/>
      <c r="D380" s="241" t="s">
        <v>884</v>
      </c>
      <c r="E380" s="242"/>
      <c r="F380" s="241"/>
      <c r="G380" s="76">
        <v>49.997</v>
      </c>
      <c r="H380" s="27"/>
    </row>
    <row r="381" spans="1:8" ht="12.15" customHeight="1" x14ac:dyDescent="0.25">
      <c r="A381" s="132"/>
      <c r="B381" s="132"/>
      <c r="C381" s="132"/>
      <c r="D381" s="241" t="s">
        <v>885</v>
      </c>
      <c r="E381" s="242"/>
      <c r="F381" s="241"/>
      <c r="G381" s="76">
        <v>12.499000000000001</v>
      </c>
      <c r="H381" s="27"/>
    </row>
    <row r="382" spans="1:8" x14ac:dyDescent="0.25">
      <c r="A382" s="132" t="s">
        <v>116</v>
      </c>
      <c r="B382" s="132"/>
      <c r="C382" s="132" t="s">
        <v>318</v>
      </c>
      <c r="D382" s="225" t="s">
        <v>533</v>
      </c>
      <c r="E382" s="221"/>
      <c r="F382" s="132" t="s">
        <v>625</v>
      </c>
      <c r="G382" s="77">
        <v>141.523</v>
      </c>
      <c r="H382" s="12">
        <v>0</v>
      </c>
    </row>
    <row r="383" spans="1:8" ht="12.15" customHeight="1" x14ac:dyDescent="0.25">
      <c r="D383" s="241" t="s">
        <v>882</v>
      </c>
      <c r="E383" s="242"/>
      <c r="F383" s="242"/>
      <c r="G383" s="47">
        <v>45.622</v>
      </c>
    </row>
    <row r="384" spans="1:8" ht="12.15" customHeight="1" x14ac:dyDescent="0.25">
      <c r="A384" s="132"/>
      <c r="B384" s="132"/>
      <c r="C384" s="132"/>
      <c r="D384" s="241" t="s">
        <v>883</v>
      </c>
      <c r="E384" s="242"/>
      <c r="F384" s="241"/>
      <c r="G384" s="76">
        <v>33.405000000000001</v>
      </c>
      <c r="H384" s="27"/>
    </row>
    <row r="385" spans="1:8" ht="12.15" customHeight="1" x14ac:dyDescent="0.25">
      <c r="A385" s="132"/>
      <c r="B385" s="132"/>
      <c r="C385" s="132"/>
      <c r="D385" s="241" t="s">
        <v>884</v>
      </c>
      <c r="E385" s="242"/>
      <c r="F385" s="241"/>
      <c r="G385" s="76">
        <v>49.997</v>
      </c>
      <c r="H385" s="27"/>
    </row>
    <row r="386" spans="1:8" ht="12.15" customHeight="1" x14ac:dyDescent="0.25">
      <c r="A386" s="132"/>
      <c r="B386" s="132"/>
      <c r="C386" s="132"/>
      <c r="D386" s="241" t="s">
        <v>885</v>
      </c>
      <c r="E386" s="242"/>
      <c r="F386" s="241"/>
      <c r="G386" s="76">
        <v>12.499000000000001</v>
      </c>
      <c r="H386" s="27"/>
    </row>
    <row r="387" spans="1:8" x14ac:dyDescent="0.25">
      <c r="A387" s="132" t="s">
        <v>117</v>
      </c>
      <c r="B387" s="132"/>
      <c r="C387" s="132" t="s">
        <v>320</v>
      </c>
      <c r="D387" s="275" t="s">
        <v>1142</v>
      </c>
      <c r="E387" s="221"/>
      <c r="F387" s="132" t="s">
        <v>625</v>
      </c>
      <c r="G387" s="77">
        <v>395.80099999999999</v>
      </c>
      <c r="H387" s="12">
        <v>0</v>
      </c>
    </row>
    <row r="388" spans="1:8" ht="12.15" customHeight="1" x14ac:dyDescent="0.25">
      <c r="D388" s="241" t="s">
        <v>759</v>
      </c>
      <c r="E388" s="242"/>
      <c r="F388" s="242"/>
      <c r="G388" s="47">
        <v>19.47</v>
      </c>
    </row>
    <row r="389" spans="1:8" ht="12.15" customHeight="1" x14ac:dyDescent="0.25">
      <c r="A389" s="132"/>
      <c r="B389" s="132"/>
      <c r="C389" s="132"/>
      <c r="D389" s="241" t="s">
        <v>760</v>
      </c>
      <c r="E389" s="242"/>
      <c r="F389" s="241"/>
      <c r="G389" s="76">
        <v>2.61</v>
      </c>
      <c r="H389" s="27"/>
    </row>
    <row r="390" spans="1:8" ht="12.15" customHeight="1" x14ac:dyDescent="0.25">
      <c r="A390" s="132"/>
      <c r="B390" s="132"/>
      <c r="C390" s="132"/>
      <c r="D390" s="241" t="s">
        <v>761</v>
      </c>
      <c r="E390" s="242"/>
      <c r="F390" s="241"/>
      <c r="G390" s="76">
        <v>13.19</v>
      </c>
      <c r="H390" s="27"/>
    </row>
    <row r="391" spans="1:8" ht="12.15" customHeight="1" x14ac:dyDescent="0.25">
      <c r="A391" s="132"/>
      <c r="B391" s="132"/>
      <c r="C391" s="132"/>
      <c r="D391" s="241" t="s">
        <v>762</v>
      </c>
      <c r="E391" s="242"/>
      <c r="F391" s="241"/>
      <c r="G391" s="76">
        <v>19.95</v>
      </c>
      <c r="H391" s="27"/>
    </row>
    <row r="392" spans="1:8" ht="12.15" customHeight="1" x14ac:dyDescent="0.25">
      <c r="A392" s="132"/>
      <c r="B392" s="132"/>
      <c r="C392" s="132"/>
      <c r="D392" s="241" t="s">
        <v>886</v>
      </c>
      <c r="E392" s="242"/>
      <c r="F392" s="241"/>
      <c r="G392" s="76">
        <v>57.6</v>
      </c>
      <c r="H392" s="27"/>
    </row>
    <row r="393" spans="1:8" ht="12.15" customHeight="1" x14ac:dyDescent="0.25">
      <c r="A393" s="132"/>
      <c r="B393" s="132"/>
      <c r="C393" s="132"/>
      <c r="D393" s="241" t="s">
        <v>887</v>
      </c>
      <c r="E393" s="242"/>
      <c r="F393" s="241"/>
      <c r="G393" s="76">
        <v>19.62</v>
      </c>
      <c r="H393" s="27"/>
    </row>
    <row r="394" spans="1:8" ht="12.15" customHeight="1" x14ac:dyDescent="0.25">
      <c r="A394" s="132"/>
      <c r="B394" s="132"/>
      <c r="C394" s="132"/>
      <c r="D394" s="241" t="s">
        <v>775</v>
      </c>
      <c r="E394" s="242"/>
      <c r="F394" s="241"/>
      <c r="G394" s="76">
        <v>43.77</v>
      </c>
      <c r="H394" s="27"/>
    </row>
    <row r="395" spans="1:8" ht="12.15" customHeight="1" x14ac:dyDescent="0.25">
      <c r="A395" s="132"/>
      <c r="B395" s="132"/>
      <c r="C395" s="132"/>
      <c r="D395" s="241" t="s">
        <v>888</v>
      </c>
      <c r="E395" s="242"/>
      <c r="F395" s="241"/>
      <c r="G395" s="76">
        <v>53.94</v>
      </c>
      <c r="H395" s="27"/>
    </row>
    <row r="396" spans="1:8" ht="12.15" customHeight="1" x14ac:dyDescent="0.25">
      <c r="A396" s="132"/>
      <c r="B396" s="132"/>
      <c r="C396" s="132"/>
      <c r="D396" s="241" t="s">
        <v>763</v>
      </c>
      <c r="E396" s="242"/>
      <c r="F396" s="241"/>
      <c r="G396" s="76">
        <v>23.09</v>
      </c>
      <c r="H396" s="27"/>
    </row>
    <row r="397" spans="1:8" ht="12.15" customHeight="1" x14ac:dyDescent="0.25">
      <c r="A397" s="132"/>
      <c r="B397" s="132"/>
      <c r="C397" s="132"/>
      <c r="D397" s="241" t="s">
        <v>764</v>
      </c>
      <c r="E397" s="242"/>
      <c r="F397" s="241"/>
      <c r="G397" s="76">
        <v>25.64</v>
      </c>
      <c r="H397" s="27"/>
    </row>
    <row r="398" spans="1:8" ht="12.15" customHeight="1" x14ac:dyDescent="0.25">
      <c r="A398" s="132"/>
      <c r="B398" s="132"/>
      <c r="C398" s="132"/>
      <c r="D398" s="241" t="s">
        <v>889</v>
      </c>
      <c r="E398" s="242"/>
      <c r="F398" s="241"/>
      <c r="G398" s="76">
        <v>57.329000000000001</v>
      </c>
      <c r="H398" s="27"/>
    </row>
    <row r="399" spans="1:8" ht="12.15" customHeight="1" x14ac:dyDescent="0.25">
      <c r="A399" s="132"/>
      <c r="B399" s="132"/>
      <c r="C399" s="132"/>
      <c r="D399" s="241" t="s">
        <v>890</v>
      </c>
      <c r="E399" s="242"/>
      <c r="F399" s="241"/>
      <c r="G399" s="76">
        <v>59.591999999999999</v>
      </c>
      <c r="H399" s="27"/>
    </row>
    <row r="400" spans="1:8" x14ac:dyDescent="0.25">
      <c r="A400" s="132" t="s">
        <v>118</v>
      </c>
      <c r="B400" s="132"/>
      <c r="C400" s="132" t="s">
        <v>321</v>
      </c>
      <c r="D400" s="275" t="s">
        <v>1143</v>
      </c>
      <c r="E400" s="221"/>
      <c r="F400" s="132" t="s">
        <v>625</v>
      </c>
      <c r="G400" s="77">
        <v>395.80099999999999</v>
      </c>
      <c r="H400" s="12">
        <v>0</v>
      </c>
    </row>
    <row r="401" spans="1:8" ht="12.15" customHeight="1" x14ac:dyDescent="0.25">
      <c r="D401" s="241" t="s">
        <v>759</v>
      </c>
      <c r="E401" s="242"/>
      <c r="F401" s="242"/>
      <c r="G401" s="47">
        <v>19.47</v>
      </c>
    </row>
    <row r="402" spans="1:8" ht="12.15" customHeight="1" x14ac:dyDescent="0.25">
      <c r="A402" s="132"/>
      <c r="B402" s="132"/>
      <c r="C402" s="132"/>
      <c r="D402" s="241" t="s">
        <v>760</v>
      </c>
      <c r="E402" s="242"/>
      <c r="F402" s="241"/>
      <c r="G402" s="76">
        <v>2.61</v>
      </c>
      <c r="H402" s="27"/>
    </row>
    <row r="403" spans="1:8" ht="12.15" customHeight="1" x14ac:dyDescent="0.25">
      <c r="A403" s="132"/>
      <c r="B403" s="132"/>
      <c r="C403" s="132"/>
      <c r="D403" s="241" t="s">
        <v>761</v>
      </c>
      <c r="E403" s="242"/>
      <c r="F403" s="241"/>
      <c r="G403" s="76">
        <v>13.19</v>
      </c>
      <c r="H403" s="27"/>
    </row>
    <row r="404" spans="1:8" ht="12.15" customHeight="1" x14ac:dyDescent="0.25">
      <c r="A404" s="132"/>
      <c r="B404" s="132"/>
      <c r="C404" s="132"/>
      <c r="D404" s="241" t="s">
        <v>762</v>
      </c>
      <c r="E404" s="242"/>
      <c r="F404" s="241"/>
      <c r="G404" s="76">
        <v>19.95</v>
      </c>
      <c r="H404" s="27"/>
    </row>
    <row r="405" spans="1:8" ht="12.15" customHeight="1" x14ac:dyDescent="0.25">
      <c r="A405" s="132"/>
      <c r="B405" s="132"/>
      <c r="C405" s="132"/>
      <c r="D405" s="241" t="s">
        <v>886</v>
      </c>
      <c r="E405" s="242"/>
      <c r="F405" s="241"/>
      <c r="G405" s="76">
        <v>57.6</v>
      </c>
      <c r="H405" s="27"/>
    </row>
    <row r="406" spans="1:8" ht="12.15" customHeight="1" x14ac:dyDescent="0.25">
      <c r="A406" s="132"/>
      <c r="B406" s="132"/>
      <c r="C406" s="132"/>
      <c r="D406" s="241" t="s">
        <v>887</v>
      </c>
      <c r="E406" s="242"/>
      <c r="F406" s="241"/>
      <c r="G406" s="76">
        <v>19.62</v>
      </c>
      <c r="H406" s="27"/>
    </row>
    <row r="407" spans="1:8" ht="12.15" customHeight="1" x14ac:dyDescent="0.25">
      <c r="A407" s="132"/>
      <c r="B407" s="132"/>
      <c r="C407" s="132"/>
      <c r="D407" s="241" t="s">
        <v>775</v>
      </c>
      <c r="E407" s="242"/>
      <c r="F407" s="241"/>
      <c r="G407" s="76">
        <v>43.77</v>
      </c>
      <c r="H407" s="27"/>
    </row>
    <row r="408" spans="1:8" ht="12.15" customHeight="1" x14ac:dyDescent="0.25">
      <c r="A408" s="132"/>
      <c r="B408" s="132"/>
      <c r="C408" s="132"/>
      <c r="D408" s="241" t="s">
        <v>888</v>
      </c>
      <c r="E408" s="242"/>
      <c r="F408" s="241"/>
      <c r="G408" s="76">
        <v>53.94</v>
      </c>
      <c r="H408" s="27"/>
    </row>
    <row r="409" spans="1:8" ht="12.15" customHeight="1" x14ac:dyDescent="0.25">
      <c r="A409" s="132"/>
      <c r="B409" s="132"/>
      <c r="C409" s="132"/>
      <c r="D409" s="241" t="s">
        <v>763</v>
      </c>
      <c r="E409" s="242"/>
      <c r="F409" s="241"/>
      <c r="G409" s="76">
        <v>23.09</v>
      </c>
      <c r="H409" s="27"/>
    </row>
    <row r="410" spans="1:8" ht="12.15" customHeight="1" x14ac:dyDescent="0.25">
      <c r="A410" s="132"/>
      <c r="B410" s="132"/>
      <c r="C410" s="132"/>
      <c r="D410" s="241" t="s">
        <v>764</v>
      </c>
      <c r="E410" s="242"/>
      <c r="F410" s="241"/>
      <c r="G410" s="76">
        <v>25.64</v>
      </c>
      <c r="H410" s="27"/>
    </row>
    <row r="411" spans="1:8" ht="12.15" customHeight="1" x14ac:dyDescent="0.25">
      <c r="A411" s="132"/>
      <c r="B411" s="132"/>
      <c r="C411" s="132"/>
      <c r="D411" s="241" t="s">
        <v>889</v>
      </c>
      <c r="E411" s="242"/>
      <c r="F411" s="241"/>
      <c r="G411" s="76">
        <v>57.329000000000001</v>
      </c>
      <c r="H411" s="27"/>
    </row>
    <row r="412" spans="1:8" ht="12.15" customHeight="1" x14ac:dyDescent="0.25">
      <c r="A412" s="132"/>
      <c r="B412" s="132"/>
      <c r="C412" s="132"/>
      <c r="D412" s="241" t="s">
        <v>890</v>
      </c>
      <c r="E412" s="242"/>
      <c r="F412" s="241"/>
      <c r="G412" s="76">
        <v>59.591999999999999</v>
      </c>
      <c r="H412" s="27"/>
    </row>
    <row r="413" spans="1:8" x14ac:dyDescent="0.25">
      <c r="A413" s="132" t="s">
        <v>119</v>
      </c>
      <c r="B413" s="132"/>
      <c r="C413" s="132" t="s">
        <v>323</v>
      </c>
      <c r="D413" s="225" t="s">
        <v>536</v>
      </c>
      <c r="E413" s="221"/>
      <c r="F413" s="132" t="s">
        <v>625</v>
      </c>
      <c r="G413" s="77">
        <v>8.19</v>
      </c>
      <c r="H413" s="12">
        <v>0</v>
      </c>
    </row>
    <row r="414" spans="1:8" ht="12.15" customHeight="1" x14ac:dyDescent="0.25">
      <c r="D414" s="241" t="s">
        <v>782</v>
      </c>
      <c r="E414" s="242"/>
      <c r="F414" s="242"/>
      <c r="G414" s="47">
        <v>1.44</v>
      </c>
    </row>
    <row r="415" spans="1:8" ht="12.15" customHeight="1" x14ac:dyDescent="0.25">
      <c r="A415" s="132"/>
      <c r="B415" s="132"/>
      <c r="C415" s="132"/>
      <c r="D415" s="241" t="s">
        <v>852</v>
      </c>
      <c r="E415" s="242"/>
      <c r="F415" s="241"/>
      <c r="G415" s="76">
        <v>1.35</v>
      </c>
      <c r="H415" s="27"/>
    </row>
    <row r="416" spans="1:8" ht="12.15" customHeight="1" x14ac:dyDescent="0.25">
      <c r="A416" s="132"/>
      <c r="B416" s="132"/>
      <c r="C416" s="132"/>
      <c r="D416" s="241" t="s">
        <v>784</v>
      </c>
      <c r="E416" s="242"/>
      <c r="F416" s="241"/>
      <c r="G416" s="76">
        <v>5.4</v>
      </c>
      <c r="H416" s="27"/>
    </row>
    <row r="417" spans="1:8" x14ac:dyDescent="0.25">
      <c r="A417" s="132" t="s">
        <v>120</v>
      </c>
      <c r="B417" s="132"/>
      <c r="C417" s="132" t="s">
        <v>324</v>
      </c>
      <c r="D417" s="225" t="s">
        <v>538</v>
      </c>
      <c r="E417" s="221"/>
      <c r="F417" s="132" t="s">
        <v>627</v>
      </c>
      <c r="G417" s="77">
        <v>3.1E-2</v>
      </c>
      <c r="H417" s="12">
        <v>0</v>
      </c>
    </row>
    <row r="418" spans="1:8" x14ac:dyDescent="0.25">
      <c r="A418" s="132" t="s">
        <v>121</v>
      </c>
      <c r="B418" s="132"/>
      <c r="C418" s="132" t="s">
        <v>325</v>
      </c>
      <c r="D418" s="225" t="s">
        <v>540</v>
      </c>
      <c r="E418" s="221"/>
      <c r="F418" s="132" t="s">
        <v>629</v>
      </c>
      <c r="G418" s="77">
        <v>51.2</v>
      </c>
      <c r="H418" s="12">
        <v>0</v>
      </c>
    </row>
    <row r="419" spans="1:8" ht="12.15" customHeight="1" x14ac:dyDescent="0.25">
      <c r="D419" s="241" t="s">
        <v>891</v>
      </c>
      <c r="E419" s="242"/>
      <c r="F419" s="242"/>
      <c r="G419" s="47">
        <v>51.2</v>
      </c>
    </row>
    <row r="420" spans="1:8" x14ac:dyDescent="0.25">
      <c r="A420" s="132" t="s">
        <v>122</v>
      </c>
      <c r="B420" s="132"/>
      <c r="C420" s="132" t="s">
        <v>326</v>
      </c>
      <c r="D420" s="225" t="s">
        <v>541</v>
      </c>
      <c r="E420" s="221"/>
      <c r="F420" s="132" t="s">
        <v>629</v>
      </c>
      <c r="G420" s="77">
        <v>78.92</v>
      </c>
      <c r="H420" s="12">
        <v>0</v>
      </c>
    </row>
    <row r="421" spans="1:8" ht="12.15" customHeight="1" x14ac:dyDescent="0.25">
      <c r="D421" s="241" t="s">
        <v>892</v>
      </c>
      <c r="E421" s="242"/>
      <c r="F421" s="242"/>
      <c r="G421" s="47">
        <v>78.92</v>
      </c>
    </row>
    <row r="422" spans="1:8" x14ac:dyDescent="0.25">
      <c r="A422" s="137" t="s">
        <v>123</v>
      </c>
      <c r="B422" s="137"/>
      <c r="C422" s="137" t="s">
        <v>327</v>
      </c>
      <c r="D422" s="245" t="s">
        <v>542</v>
      </c>
      <c r="E422" s="224"/>
      <c r="F422" s="137" t="s">
        <v>629</v>
      </c>
      <c r="G422" s="92">
        <v>38.6</v>
      </c>
      <c r="H422" s="111">
        <v>0</v>
      </c>
    </row>
    <row r="423" spans="1:8" ht="12.15" customHeight="1" x14ac:dyDescent="0.25">
      <c r="D423" s="241" t="s">
        <v>893</v>
      </c>
      <c r="E423" s="242"/>
      <c r="F423" s="242"/>
      <c r="G423" s="47">
        <v>31</v>
      </c>
    </row>
    <row r="424" spans="1:8" ht="12.15" customHeight="1" x14ac:dyDescent="0.25">
      <c r="A424" s="137"/>
      <c r="B424" s="137"/>
      <c r="C424" s="137"/>
      <c r="D424" s="246" t="s">
        <v>894</v>
      </c>
      <c r="E424" s="247"/>
      <c r="F424" s="246"/>
      <c r="G424" s="112">
        <v>7.6</v>
      </c>
      <c r="H424" s="95"/>
    </row>
    <row r="425" spans="1:8" x14ac:dyDescent="0.25">
      <c r="A425" s="132" t="s">
        <v>124</v>
      </c>
      <c r="B425" s="132"/>
      <c r="C425" s="132" t="s">
        <v>328</v>
      </c>
      <c r="D425" s="275" t="s">
        <v>1144</v>
      </c>
      <c r="E425" s="221"/>
      <c r="F425" s="132" t="s">
        <v>634</v>
      </c>
      <c r="G425" s="77">
        <v>1</v>
      </c>
      <c r="H425" s="12">
        <v>0</v>
      </c>
    </row>
    <row r="426" spans="1:8" ht="12.15" customHeight="1" x14ac:dyDescent="0.25">
      <c r="D426" s="241" t="s">
        <v>895</v>
      </c>
      <c r="E426" s="242"/>
      <c r="F426" s="242"/>
      <c r="G426" s="47">
        <v>1</v>
      </c>
    </row>
    <row r="427" spans="1:8" x14ac:dyDescent="0.25">
      <c r="A427" s="132" t="s">
        <v>125</v>
      </c>
      <c r="B427" s="132"/>
      <c r="C427" s="132" t="s">
        <v>329</v>
      </c>
      <c r="D427" s="275" t="s">
        <v>1145</v>
      </c>
      <c r="E427" s="221"/>
      <c r="F427" s="132" t="s">
        <v>635</v>
      </c>
      <c r="G427" s="77">
        <v>45</v>
      </c>
      <c r="H427" s="12">
        <v>0</v>
      </c>
    </row>
    <row r="428" spans="1:8" ht="12.15" customHeight="1" x14ac:dyDescent="0.25">
      <c r="D428" s="241" t="s">
        <v>896</v>
      </c>
      <c r="E428" s="242"/>
      <c r="F428" s="242"/>
      <c r="G428" s="47">
        <v>45</v>
      </c>
    </row>
    <row r="429" spans="1:8" x14ac:dyDescent="0.25">
      <c r="A429" s="132" t="s">
        <v>126</v>
      </c>
      <c r="B429" s="132"/>
      <c r="C429" s="132" t="s">
        <v>330</v>
      </c>
      <c r="D429" s="275" t="s">
        <v>1146</v>
      </c>
      <c r="E429" s="221"/>
      <c r="F429" s="132" t="s">
        <v>634</v>
      </c>
      <c r="G429" s="77">
        <v>1</v>
      </c>
      <c r="H429" s="12">
        <v>0</v>
      </c>
    </row>
    <row r="430" spans="1:8" x14ac:dyDescent="0.25">
      <c r="A430" s="132" t="s">
        <v>127</v>
      </c>
      <c r="B430" s="132"/>
      <c r="C430" s="132" t="s">
        <v>331</v>
      </c>
      <c r="D430" s="225" t="s">
        <v>546</v>
      </c>
      <c r="E430" s="221"/>
      <c r="F430" s="132" t="s">
        <v>628</v>
      </c>
      <c r="G430" s="77">
        <v>6</v>
      </c>
      <c r="H430" s="12">
        <v>0</v>
      </c>
    </row>
    <row r="431" spans="1:8" ht="12.15" customHeight="1" x14ac:dyDescent="0.25">
      <c r="D431" s="241" t="s">
        <v>897</v>
      </c>
      <c r="E431" s="242"/>
      <c r="F431" s="242"/>
      <c r="G431" s="47">
        <v>1</v>
      </c>
    </row>
    <row r="432" spans="1:8" ht="12.15" customHeight="1" x14ac:dyDescent="0.25">
      <c r="A432" s="132"/>
      <c r="B432" s="132"/>
      <c r="C432" s="132"/>
      <c r="D432" s="241" t="s">
        <v>898</v>
      </c>
      <c r="E432" s="242"/>
      <c r="F432" s="241"/>
      <c r="G432" s="76">
        <v>2</v>
      </c>
      <c r="H432" s="27"/>
    </row>
    <row r="433" spans="1:8" ht="12.15" customHeight="1" x14ac:dyDescent="0.25">
      <c r="A433" s="132"/>
      <c r="B433" s="132"/>
      <c r="C433" s="132"/>
      <c r="D433" s="241" t="s">
        <v>899</v>
      </c>
      <c r="E433" s="242"/>
      <c r="F433" s="241"/>
      <c r="G433" s="76">
        <v>3</v>
      </c>
      <c r="H433" s="27"/>
    </row>
    <row r="434" spans="1:8" x14ac:dyDescent="0.25">
      <c r="A434" s="132" t="s">
        <v>128</v>
      </c>
      <c r="B434" s="132"/>
      <c r="C434" s="132" t="s">
        <v>332</v>
      </c>
      <c r="D434" s="225" t="s">
        <v>547</v>
      </c>
      <c r="E434" s="221"/>
      <c r="F434" s="132" t="s">
        <v>625</v>
      </c>
      <c r="G434" s="77">
        <v>8.8650000000000002</v>
      </c>
      <c r="H434" s="12">
        <v>0</v>
      </c>
    </row>
    <row r="435" spans="1:8" ht="12.15" customHeight="1" x14ac:dyDescent="0.25">
      <c r="D435" s="241" t="s">
        <v>900</v>
      </c>
      <c r="E435" s="242"/>
      <c r="F435" s="242"/>
      <c r="G435" s="47">
        <v>1.5760000000000001</v>
      </c>
    </row>
    <row r="436" spans="1:8" ht="12.15" customHeight="1" x14ac:dyDescent="0.25">
      <c r="A436" s="132"/>
      <c r="B436" s="132"/>
      <c r="C436" s="132"/>
      <c r="D436" s="241" t="s">
        <v>901</v>
      </c>
      <c r="E436" s="242"/>
      <c r="F436" s="241"/>
      <c r="G436" s="76">
        <v>3.1520000000000001</v>
      </c>
      <c r="H436" s="27"/>
    </row>
    <row r="437" spans="1:8" ht="12.15" customHeight="1" x14ac:dyDescent="0.25">
      <c r="A437" s="132"/>
      <c r="B437" s="132"/>
      <c r="C437" s="132"/>
      <c r="D437" s="241" t="s">
        <v>902</v>
      </c>
      <c r="E437" s="242"/>
      <c r="F437" s="241"/>
      <c r="G437" s="76">
        <v>4.1369999999999996</v>
      </c>
      <c r="H437" s="27"/>
    </row>
    <row r="438" spans="1:8" x14ac:dyDescent="0.25">
      <c r="A438" s="132" t="s">
        <v>129</v>
      </c>
      <c r="B438" s="132"/>
      <c r="C438" s="132" t="s">
        <v>333</v>
      </c>
      <c r="D438" s="225" t="s">
        <v>548</v>
      </c>
      <c r="E438" s="221"/>
      <c r="F438" s="132" t="s">
        <v>628</v>
      </c>
      <c r="G438" s="77">
        <v>1</v>
      </c>
      <c r="H438" s="12">
        <v>0</v>
      </c>
    </row>
    <row r="439" spans="1:8" ht="12.15" customHeight="1" x14ac:dyDescent="0.25">
      <c r="D439" s="241" t="s">
        <v>903</v>
      </c>
      <c r="E439" s="242"/>
      <c r="F439" s="242"/>
      <c r="G439" s="47">
        <v>1</v>
      </c>
    </row>
    <row r="440" spans="1:8" x14ac:dyDescent="0.25">
      <c r="A440" s="132" t="s">
        <v>130</v>
      </c>
      <c r="B440" s="132"/>
      <c r="C440" s="132" t="s">
        <v>334</v>
      </c>
      <c r="D440" s="225" t="s">
        <v>549</v>
      </c>
      <c r="E440" s="221"/>
      <c r="F440" s="132" t="s">
        <v>625</v>
      </c>
      <c r="G440" s="77">
        <v>3.5960000000000001</v>
      </c>
      <c r="H440" s="12">
        <v>0</v>
      </c>
    </row>
    <row r="441" spans="1:8" ht="12.15" customHeight="1" x14ac:dyDescent="0.25">
      <c r="D441" s="241" t="s">
        <v>904</v>
      </c>
      <c r="E441" s="242"/>
      <c r="F441" s="242"/>
      <c r="G441" s="47">
        <v>3.5960000000000001</v>
      </c>
    </row>
    <row r="442" spans="1:8" x14ac:dyDescent="0.25">
      <c r="A442" s="132" t="s">
        <v>131</v>
      </c>
      <c r="B442" s="132"/>
      <c r="C442" s="132" t="s">
        <v>335</v>
      </c>
      <c r="D442" s="225" t="s">
        <v>550</v>
      </c>
      <c r="E442" s="221"/>
      <c r="F442" s="132" t="s">
        <v>626</v>
      </c>
      <c r="G442" s="77">
        <v>0.28000000000000003</v>
      </c>
      <c r="H442" s="12">
        <v>0</v>
      </c>
    </row>
    <row r="443" spans="1:8" ht="12.15" customHeight="1" x14ac:dyDescent="0.25">
      <c r="D443" s="241" t="s">
        <v>905</v>
      </c>
      <c r="E443" s="242"/>
      <c r="F443" s="242"/>
      <c r="G443" s="47">
        <v>0.28000000000000003</v>
      </c>
    </row>
    <row r="444" spans="1:8" x14ac:dyDescent="0.25">
      <c r="A444" s="132" t="s">
        <v>132</v>
      </c>
      <c r="B444" s="132"/>
      <c r="C444" s="132" t="s">
        <v>336</v>
      </c>
      <c r="D444" s="225" t="s">
        <v>551</v>
      </c>
      <c r="E444" s="221"/>
      <c r="F444" s="132" t="s">
        <v>626</v>
      </c>
      <c r="G444" s="77">
        <v>4.2949999999999999</v>
      </c>
      <c r="H444" s="12">
        <v>0</v>
      </c>
    </row>
    <row r="445" spans="1:8" ht="12.15" customHeight="1" x14ac:dyDescent="0.25">
      <c r="D445" s="241" t="s">
        <v>906</v>
      </c>
      <c r="E445" s="242"/>
      <c r="F445" s="242"/>
      <c r="G445" s="47">
        <v>1.05</v>
      </c>
    </row>
    <row r="446" spans="1:8" ht="12.15" customHeight="1" x14ac:dyDescent="0.25">
      <c r="A446" s="132"/>
      <c r="B446" s="132"/>
      <c r="C446" s="132"/>
      <c r="D446" s="241" t="s">
        <v>907</v>
      </c>
      <c r="E446" s="242"/>
      <c r="F446" s="241"/>
      <c r="G446" s="76">
        <v>1.9319999999999999</v>
      </c>
      <c r="H446" s="27"/>
    </row>
    <row r="447" spans="1:8" ht="12.15" customHeight="1" x14ac:dyDescent="0.25">
      <c r="A447" s="132"/>
      <c r="B447" s="132"/>
      <c r="C447" s="132"/>
      <c r="D447" s="241" t="s">
        <v>908</v>
      </c>
      <c r="E447" s="242"/>
      <c r="F447" s="241"/>
      <c r="G447" s="76">
        <v>1.3129999999999999</v>
      </c>
      <c r="H447" s="27"/>
    </row>
    <row r="448" spans="1:8" x14ac:dyDescent="0.25">
      <c r="A448" s="132" t="s">
        <v>133</v>
      </c>
      <c r="B448" s="132"/>
      <c r="C448" s="132" t="s">
        <v>337</v>
      </c>
      <c r="D448" s="225" t="s">
        <v>552</v>
      </c>
      <c r="E448" s="221"/>
      <c r="F448" s="132" t="s">
        <v>628</v>
      </c>
      <c r="G448" s="77">
        <v>3</v>
      </c>
      <c r="H448" s="12">
        <v>0</v>
      </c>
    </row>
    <row r="449" spans="1:8" ht="12.15" customHeight="1" x14ac:dyDescent="0.25">
      <c r="D449" s="241" t="s">
        <v>909</v>
      </c>
      <c r="E449" s="242"/>
      <c r="F449" s="242"/>
      <c r="G449" s="47">
        <v>2</v>
      </c>
    </row>
    <row r="450" spans="1:8" ht="12.15" customHeight="1" x14ac:dyDescent="0.25">
      <c r="A450" s="132"/>
      <c r="B450" s="132"/>
      <c r="C450" s="132"/>
      <c r="D450" s="241" t="s">
        <v>910</v>
      </c>
      <c r="E450" s="242"/>
      <c r="F450" s="241"/>
      <c r="G450" s="76">
        <v>1</v>
      </c>
      <c r="H450" s="27"/>
    </row>
    <row r="451" spans="1:8" x14ac:dyDescent="0.25">
      <c r="A451" s="132" t="s">
        <v>134</v>
      </c>
      <c r="B451" s="132"/>
      <c r="C451" s="132" t="s">
        <v>338</v>
      </c>
      <c r="D451" s="225" t="s">
        <v>553</v>
      </c>
      <c r="E451" s="221"/>
      <c r="F451" s="132" t="s">
        <v>628</v>
      </c>
      <c r="G451" s="77">
        <v>3</v>
      </c>
      <c r="H451" s="12">
        <v>0</v>
      </c>
    </row>
    <row r="452" spans="1:8" ht="12.15" customHeight="1" x14ac:dyDescent="0.25">
      <c r="D452" s="241" t="s">
        <v>911</v>
      </c>
      <c r="E452" s="242"/>
      <c r="F452" s="242"/>
      <c r="G452" s="47">
        <v>3</v>
      </c>
    </row>
    <row r="453" spans="1:8" x14ac:dyDescent="0.25">
      <c r="A453" s="132" t="s">
        <v>135</v>
      </c>
      <c r="B453" s="132"/>
      <c r="C453" s="132" t="s">
        <v>339</v>
      </c>
      <c r="D453" s="225" t="s">
        <v>554</v>
      </c>
      <c r="E453" s="221"/>
      <c r="F453" s="132" t="s">
        <v>625</v>
      </c>
      <c r="G453" s="77">
        <v>10.35</v>
      </c>
      <c r="H453" s="12">
        <v>0</v>
      </c>
    </row>
    <row r="454" spans="1:8" ht="12.15" customHeight="1" x14ac:dyDescent="0.25">
      <c r="D454" s="241" t="s">
        <v>912</v>
      </c>
      <c r="E454" s="242"/>
      <c r="F454" s="242"/>
      <c r="G454" s="47">
        <v>3.6</v>
      </c>
    </row>
    <row r="455" spans="1:8" ht="12.15" customHeight="1" x14ac:dyDescent="0.25">
      <c r="A455" s="132"/>
      <c r="B455" s="132"/>
      <c r="C455" s="132"/>
      <c r="D455" s="241" t="s">
        <v>913</v>
      </c>
      <c r="E455" s="242"/>
      <c r="F455" s="241"/>
      <c r="G455" s="76">
        <v>1.35</v>
      </c>
      <c r="H455" s="27"/>
    </row>
    <row r="456" spans="1:8" ht="12.15" customHeight="1" x14ac:dyDescent="0.25">
      <c r="A456" s="132"/>
      <c r="B456" s="132"/>
      <c r="C456" s="132"/>
      <c r="D456" s="241" t="s">
        <v>914</v>
      </c>
      <c r="E456" s="242"/>
      <c r="F456" s="241"/>
      <c r="G456" s="76">
        <v>5.4</v>
      </c>
      <c r="H456" s="27"/>
    </row>
    <row r="457" spans="1:8" x14ac:dyDescent="0.25">
      <c r="A457" s="137" t="s">
        <v>136</v>
      </c>
      <c r="B457" s="137"/>
      <c r="C457" s="137" t="s">
        <v>340</v>
      </c>
      <c r="D457" s="245" t="s">
        <v>555</v>
      </c>
      <c r="E457" s="224"/>
      <c r="F457" s="137" t="s">
        <v>625</v>
      </c>
      <c r="G457" s="92">
        <v>13.19</v>
      </c>
      <c r="H457" s="111">
        <v>0</v>
      </c>
    </row>
    <row r="458" spans="1:8" ht="12.15" customHeight="1" x14ac:dyDescent="0.25">
      <c r="D458" s="241" t="s">
        <v>761</v>
      </c>
      <c r="E458" s="242"/>
      <c r="F458" s="242"/>
      <c r="G458" s="47">
        <v>13.19</v>
      </c>
    </row>
    <row r="459" spans="1:8" x14ac:dyDescent="0.25">
      <c r="A459" s="137" t="s">
        <v>137</v>
      </c>
      <c r="B459" s="137"/>
      <c r="C459" s="137" t="s">
        <v>341</v>
      </c>
      <c r="D459" s="245" t="s">
        <v>557</v>
      </c>
      <c r="E459" s="224"/>
      <c r="F459" s="137" t="s">
        <v>626</v>
      </c>
      <c r="G459" s="92">
        <v>0.92300000000000004</v>
      </c>
      <c r="H459" s="111">
        <v>0</v>
      </c>
    </row>
    <row r="460" spans="1:8" ht="12.15" customHeight="1" x14ac:dyDescent="0.25">
      <c r="D460" s="241" t="s">
        <v>915</v>
      </c>
      <c r="E460" s="242"/>
      <c r="F460" s="242"/>
      <c r="G460" s="47">
        <v>0.92300000000000004</v>
      </c>
    </row>
    <row r="461" spans="1:8" x14ac:dyDescent="0.25">
      <c r="A461" s="132" t="s">
        <v>138</v>
      </c>
      <c r="B461" s="132"/>
      <c r="C461" s="132" t="s">
        <v>342</v>
      </c>
      <c r="D461" s="225" t="s">
        <v>559</v>
      </c>
      <c r="E461" s="221"/>
      <c r="F461" s="132" t="s">
        <v>626</v>
      </c>
      <c r="G461" s="77">
        <v>33.165999999999997</v>
      </c>
      <c r="H461" s="12">
        <v>0</v>
      </c>
    </row>
    <row r="462" spans="1:8" ht="12.15" customHeight="1" x14ac:dyDescent="0.25">
      <c r="D462" s="241" t="s">
        <v>916</v>
      </c>
      <c r="E462" s="242"/>
      <c r="F462" s="242"/>
      <c r="G462" s="47">
        <v>30.38</v>
      </c>
    </row>
    <row r="463" spans="1:8" ht="12.15" customHeight="1" x14ac:dyDescent="0.25">
      <c r="A463" s="132"/>
      <c r="B463" s="132"/>
      <c r="C463" s="132"/>
      <c r="D463" s="241" t="s">
        <v>917</v>
      </c>
      <c r="E463" s="242"/>
      <c r="F463" s="241"/>
      <c r="G463" s="76">
        <v>2.786</v>
      </c>
      <c r="H463" s="27"/>
    </row>
    <row r="464" spans="1:8" x14ac:dyDescent="0.25">
      <c r="A464" s="132" t="s">
        <v>139</v>
      </c>
      <c r="B464" s="132"/>
      <c r="C464" s="132" t="s">
        <v>343</v>
      </c>
      <c r="D464" s="225" t="s">
        <v>561</v>
      </c>
      <c r="E464" s="221"/>
      <c r="F464" s="132" t="s">
        <v>625</v>
      </c>
      <c r="G464" s="77">
        <v>35.270000000000003</v>
      </c>
      <c r="H464" s="12">
        <v>0</v>
      </c>
    </row>
    <row r="465" spans="1:8" ht="12.15" customHeight="1" x14ac:dyDescent="0.25">
      <c r="D465" s="241" t="s">
        <v>807</v>
      </c>
      <c r="E465" s="242"/>
      <c r="F465" s="242"/>
      <c r="G465" s="47">
        <v>19.47</v>
      </c>
    </row>
    <row r="466" spans="1:8" ht="12.15" customHeight="1" x14ac:dyDescent="0.25">
      <c r="A466" s="132"/>
      <c r="B466" s="132"/>
      <c r="C466" s="132"/>
      <c r="D466" s="241" t="s">
        <v>760</v>
      </c>
      <c r="E466" s="242"/>
      <c r="F466" s="241"/>
      <c r="G466" s="76">
        <v>2.61</v>
      </c>
      <c r="H466" s="27"/>
    </row>
    <row r="467" spans="1:8" ht="12.15" customHeight="1" x14ac:dyDescent="0.25">
      <c r="A467" s="132"/>
      <c r="B467" s="132"/>
      <c r="C467" s="132"/>
      <c r="D467" s="241" t="s">
        <v>761</v>
      </c>
      <c r="E467" s="242"/>
      <c r="F467" s="241"/>
      <c r="G467" s="76">
        <v>13.19</v>
      </c>
      <c r="H467" s="27"/>
    </row>
    <row r="468" spans="1:8" x14ac:dyDescent="0.25">
      <c r="A468" s="132" t="s">
        <v>140</v>
      </c>
      <c r="B468" s="132"/>
      <c r="C468" s="132" t="s">
        <v>344</v>
      </c>
      <c r="D468" s="225" t="s">
        <v>562</v>
      </c>
      <c r="E468" s="221"/>
      <c r="F468" s="132" t="s">
        <v>628</v>
      </c>
      <c r="G468" s="77">
        <v>4</v>
      </c>
      <c r="H468" s="12">
        <v>0</v>
      </c>
    </row>
    <row r="469" spans="1:8" ht="12.15" customHeight="1" x14ac:dyDescent="0.25">
      <c r="D469" s="241" t="s">
        <v>918</v>
      </c>
      <c r="E469" s="242"/>
      <c r="F469" s="242"/>
      <c r="G469" s="47">
        <v>4</v>
      </c>
    </row>
    <row r="470" spans="1:8" x14ac:dyDescent="0.25">
      <c r="A470" s="132" t="s">
        <v>141</v>
      </c>
      <c r="B470" s="132"/>
      <c r="C470" s="132" t="s">
        <v>345</v>
      </c>
      <c r="D470" s="225" t="s">
        <v>563</v>
      </c>
      <c r="E470" s="221"/>
      <c r="F470" s="132" t="s">
        <v>625</v>
      </c>
      <c r="G470" s="77">
        <v>11.52</v>
      </c>
      <c r="H470" s="12">
        <v>0</v>
      </c>
    </row>
    <row r="471" spans="1:8" ht="12.15" customHeight="1" x14ac:dyDescent="0.25">
      <c r="D471" s="241" t="s">
        <v>919</v>
      </c>
      <c r="E471" s="242"/>
      <c r="F471" s="242"/>
      <c r="G471" s="47">
        <v>11.52</v>
      </c>
    </row>
    <row r="472" spans="1:8" x14ac:dyDescent="0.25">
      <c r="A472" s="137" t="s">
        <v>142</v>
      </c>
      <c r="B472" s="137"/>
      <c r="C472" s="137" t="s">
        <v>346</v>
      </c>
      <c r="D472" s="245" t="s">
        <v>564</v>
      </c>
      <c r="E472" s="224"/>
      <c r="F472" s="137" t="s">
        <v>625</v>
      </c>
      <c r="G472" s="92">
        <v>55.22</v>
      </c>
      <c r="H472" s="111">
        <v>0</v>
      </c>
    </row>
    <row r="473" spans="1:8" ht="12.15" customHeight="1" x14ac:dyDescent="0.25">
      <c r="D473" s="241" t="s">
        <v>759</v>
      </c>
      <c r="E473" s="242"/>
      <c r="F473" s="242"/>
      <c r="G473" s="47">
        <v>19.47</v>
      </c>
    </row>
    <row r="474" spans="1:8" ht="12.15" customHeight="1" x14ac:dyDescent="0.25">
      <c r="A474" s="136"/>
      <c r="B474" s="136"/>
      <c r="C474" s="136"/>
      <c r="D474" s="243" t="s">
        <v>760</v>
      </c>
      <c r="E474" s="244"/>
      <c r="F474" s="243"/>
      <c r="G474" s="110">
        <v>2.61</v>
      </c>
      <c r="H474" s="91"/>
    </row>
    <row r="475" spans="1:8" ht="12.15" customHeight="1" x14ac:dyDescent="0.25">
      <c r="A475" s="136"/>
      <c r="B475" s="136"/>
      <c r="C475" s="136"/>
      <c r="D475" s="243" t="s">
        <v>761</v>
      </c>
      <c r="E475" s="244"/>
      <c r="F475" s="243"/>
      <c r="G475" s="110">
        <v>13.19</v>
      </c>
      <c r="H475" s="91"/>
    </row>
    <row r="476" spans="1:8" ht="12.15" customHeight="1" x14ac:dyDescent="0.25">
      <c r="A476" s="137"/>
      <c r="B476" s="137"/>
      <c r="C476" s="137"/>
      <c r="D476" s="246" t="s">
        <v>762</v>
      </c>
      <c r="E476" s="247"/>
      <c r="F476" s="246"/>
      <c r="G476" s="112">
        <v>19.95</v>
      </c>
      <c r="H476" s="95"/>
    </row>
    <row r="477" spans="1:8" x14ac:dyDescent="0.25">
      <c r="A477" s="132" t="s">
        <v>143</v>
      </c>
      <c r="B477" s="132"/>
      <c r="C477" s="132" t="s">
        <v>347</v>
      </c>
      <c r="D477" s="225" t="s">
        <v>566</v>
      </c>
      <c r="E477" s="221"/>
      <c r="F477" s="132" t="s">
        <v>625</v>
      </c>
      <c r="G477" s="77">
        <v>29.18</v>
      </c>
      <c r="H477" s="12">
        <v>0</v>
      </c>
    </row>
    <row r="478" spans="1:8" ht="12.15" customHeight="1" x14ac:dyDescent="0.25">
      <c r="D478" s="241" t="s">
        <v>920</v>
      </c>
      <c r="E478" s="242"/>
      <c r="F478" s="242"/>
      <c r="G478" s="47">
        <v>29.18</v>
      </c>
    </row>
    <row r="479" spans="1:8" x14ac:dyDescent="0.25">
      <c r="A479" s="137" t="s">
        <v>144</v>
      </c>
      <c r="B479" s="137"/>
      <c r="C479" s="137" t="s">
        <v>348</v>
      </c>
      <c r="D479" s="245" t="s">
        <v>567</v>
      </c>
      <c r="E479" s="224"/>
      <c r="F479" s="137" t="s">
        <v>625</v>
      </c>
      <c r="G479" s="92">
        <v>309.47199999999998</v>
      </c>
      <c r="H479" s="111">
        <v>0</v>
      </c>
    </row>
    <row r="480" spans="1:8" ht="12.15" customHeight="1" x14ac:dyDescent="0.25">
      <c r="D480" s="241" t="s">
        <v>775</v>
      </c>
      <c r="E480" s="242"/>
      <c r="F480" s="242"/>
      <c r="G480" s="47">
        <v>43.77</v>
      </c>
    </row>
    <row r="481" spans="1:8" ht="12.15" customHeight="1" x14ac:dyDescent="0.25">
      <c r="A481" s="136"/>
      <c r="B481" s="136"/>
      <c r="C481" s="136"/>
      <c r="D481" s="243" t="s">
        <v>776</v>
      </c>
      <c r="E481" s="244"/>
      <c r="F481" s="243"/>
      <c r="G481" s="110">
        <v>58.41</v>
      </c>
      <c r="H481" s="91"/>
    </row>
    <row r="482" spans="1:8" ht="12.15" customHeight="1" x14ac:dyDescent="0.25">
      <c r="A482" s="136"/>
      <c r="B482" s="136"/>
      <c r="C482" s="136"/>
      <c r="D482" s="243" t="s">
        <v>777</v>
      </c>
      <c r="E482" s="244"/>
      <c r="F482" s="243"/>
      <c r="G482" s="110">
        <v>7.83</v>
      </c>
      <c r="H482" s="91"/>
    </row>
    <row r="483" spans="1:8" ht="12.15" customHeight="1" x14ac:dyDescent="0.25">
      <c r="A483" s="136"/>
      <c r="B483" s="136"/>
      <c r="C483" s="136"/>
      <c r="D483" s="243" t="s">
        <v>778</v>
      </c>
      <c r="E483" s="244"/>
      <c r="F483" s="243"/>
      <c r="G483" s="110">
        <v>59.85</v>
      </c>
      <c r="H483" s="91"/>
    </row>
    <row r="484" spans="1:8" ht="12.15" customHeight="1" x14ac:dyDescent="0.25">
      <c r="A484" s="136"/>
      <c r="B484" s="136"/>
      <c r="C484" s="136"/>
      <c r="D484" s="243" t="s">
        <v>779</v>
      </c>
      <c r="E484" s="244"/>
      <c r="F484" s="243"/>
      <c r="G484" s="110">
        <v>66.153000000000006</v>
      </c>
      <c r="H484" s="91"/>
    </row>
    <row r="485" spans="1:8" ht="12.15" customHeight="1" x14ac:dyDescent="0.25">
      <c r="A485" s="136"/>
      <c r="B485" s="136"/>
      <c r="C485" s="136"/>
      <c r="D485" s="243" t="s">
        <v>780</v>
      </c>
      <c r="E485" s="244"/>
      <c r="F485" s="243"/>
      <c r="G485" s="110">
        <v>73.459000000000003</v>
      </c>
      <c r="H485" s="91"/>
    </row>
    <row r="486" spans="1:8" x14ac:dyDescent="0.25">
      <c r="A486" s="137" t="s">
        <v>145</v>
      </c>
      <c r="B486" s="137"/>
      <c r="C486" s="137" t="s">
        <v>349</v>
      </c>
      <c r="D486" s="245" t="s">
        <v>568</v>
      </c>
      <c r="E486" s="224"/>
      <c r="F486" s="137" t="s">
        <v>625</v>
      </c>
      <c r="G486" s="92">
        <v>147.26</v>
      </c>
      <c r="H486" s="111">
        <v>0</v>
      </c>
    </row>
    <row r="487" spans="1:8" ht="12.15" customHeight="1" x14ac:dyDescent="0.25">
      <c r="D487" s="241" t="s">
        <v>785</v>
      </c>
      <c r="E487" s="242"/>
      <c r="F487" s="242"/>
      <c r="G487" s="47">
        <v>134.30000000000001</v>
      </c>
    </row>
    <row r="488" spans="1:8" ht="12.15" customHeight="1" x14ac:dyDescent="0.25">
      <c r="A488" s="137"/>
      <c r="B488" s="137"/>
      <c r="C488" s="137"/>
      <c r="D488" s="246" t="s">
        <v>921</v>
      </c>
      <c r="E488" s="247"/>
      <c r="F488" s="246"/>
      <c r="G488" s="112">
        <v>12.96</v>
      </c>
      <c r="H488" s="95"/>
    </row>
    <row r="489" spans="1:8" x14ac:dyDescent="0.25">
      <c r="A489" s="132" t="s">
        <v>146</v>
      </c>
      <c r="B489" s="132"/>
      <c r="C489" s="132" t="s">
        <v>350</v>
      </c>
      <c r="D489" s="225" t="s">
        <v>569</v>
      </c>
      <c r="E489" s="221"/>
      <c r="F489" s="132" t="s">
        <v>626</v>
      </c>
      <c r="G489" s="77">
        <v>2.4E-2</v>
      </c>
      <c r="H489" s="12">
        <v>0</v>
      </c>
    </row>
    <row r="490" spans="1:8" ht="12.15" customHeight="1" x14ac:dyDescent="0.25">
      <c r="D490" s="241" t="s">
        <v>922</v>
      </c>
      <c r="E490" s="242"/>
      <c r="F490" s="242"/>
      <c r="G490" s="47">
        <v>2.4E-2</v>
      </c>
    </row>
    <row r="491" spans="1:8" x14ac:dyDescent="0.25">
      <c r="A491" s="132" t="s">
        <v>147</v>
      </c>
      <c r="B491" s="132"/>
      <c r="C491" s="132" t="s">
        <v>351</v>
      </c>
      <c r="D491" s="225" t="s">
        <v>570</v>
      </c>
      <c r="E491" s="221"/>
      <c r="F491" s="132" t="s">
        <v>629</v>
      </c>
      <c r="G491" s="77">
        <v>1035</v>
      </c>
      <c r="H491" s="12">
        <v>0</v>
      </c>
    </row>
    <row r="492" spans="1:8" ht="12.15" customHeight="1" x14ac:dyDescent="0.25">
      <c r="D492" s="241" t="s">
        <v>923</v>
      </c>
      <c r="E492" s="242"/>
      <c r="F492" s="242"/>
      <c r="G492" s="47">
        <v>1035</v>
      </c>
    </row>
    <row r="493" spans="1:8" x14ac:dyDescent="0.25">
      <c r="A493" s="137" t="s">
        <v>148</v>
      </c>
      <c r="B493" s="137"/>
      <c r="C493" s="137" t="s">
        <v>352</v>
      </c>
      <c r="D493" s="245" t="s">
        <v>571</v>
      </c>
      <c r="E493" s="224"/>
      <c r="F493" s="137" t="s">
        <v>625</v>
      </c>
      <c r="G493" s="92">
        <v>24.745999999999999</v>
      </c>
      <c r="H493" s="111">
        <v>0</v>
      </c>
    </row>
    <row r="494" spans="1:8" ht="12.15" customHeight="1" x14ac:dyDescent="0.25">
      <c r="D494" s="241" t="s">
        <v>924</v>
      </c>
      <c r="E494" s="242"/>
      <c r="F494" s="242"/>
      <c r="G494" s="47">
        <v>24.745999999999999</v>
      </c>
    </row>
    <row r="495" spans="1:8" x14ac:dyDescent="0.25">
      <c r="A495" s="136" t="s">
        <v>149</v>
      </c>
      <c r="B495" s="136"/>
      <c r="C495" s="136" t="s">
        <v>354</v>
      </c>
      <c r="D495" s="254" t="s">
        <v>573</v>
      </c>
      <c r="E495" s="222"/>
      <c r="F495" s="136" t="s">
        <v>627</v>
      </c>
      <c r="G495" s="88">
        <v>136.41</v>
      </c>
      <c r="H495" s="116">
        <v>0</v>
      </c>
    </row>
    <row r="496" spans="1:8" x14ac:dyDescent="0.25">
      <c r="A496" s="136" t="s">
        <v>150</v>
      </c>
      <c r="B496" s="136"/>
      <c r="C496" s="136" t="s">
        <v>356</v>
      </c>
      <c r="D496" s="254" t="s">
        <v>575</v>
      </c>
      <c r="E496" s="222"/>
      <c r="F496" s="136" t="s">
        <v>627</v>
      </c>
      <c r="G496" s="88">
        <v>36.985999999999997</v>
      </c>
      <c r="H496" s="116">
        <v>0</v>
      </c>
    </row>
    <row r="497" spans="1:8" x14ac:dyDescent="0.25">
      <c r="A497" s="137" t="s">
        <v>151</v>
      </c>
      <c r="B497" s="137"/>
      <c r="C497" s="137" t="s">
        <v>357</v>
      </c>
      <c r="D497" s="245" t="s">
        <v>576</v>
      </c>
      <c r="E497" s="224"/>
      <c r="F497" s="137" t="s">
        <v>627</v>
      </c>
      <c r="G497" s="92">
        <v>340.33</v>
      </c>
      <c r="H497" s="111">
        <v>0</v>
      </c>
    </row>
    <row r="498" spans="1:8" x14ac:dyDescent="0.25">
      <c r="A498" s="132" t="s">
        <v>152</v>
      </c>
      <c r="B498" s="132"/>
      <c r="C498" s="132" t="s">
        <v>359</v>
      </c>
      <c r="D498" s="225" t="s">
        <v>578</v>
      </c>
      <c r="E498" s="221"/>
      <c r="F498" s="132" t="s">
        <v>629</v>
      </c>
      <c r="G498" s="77">
        <v>62</v>
      </c>
      <c r="H498" s="12">
        <v>0</v>
      </c>
    </row>
    <row r="499" spans="1:8" ht="12.15" customHeight="1" x14ac:dyDescent="0.25">
      <c r="D499" s="241" t="s">
        <v>925</v>
      </c>
      <c r="E499" s="242"/>
      <c r="F499" s="242"/>
      <c r="G499" s="47">
        <v>15</v>
      </c>
    </row>
    <row r="500" spans="1:8" ht="12.15" customHeight="1" x14ac:dyDescent="0.25">
      <c r="A500" s="132"/>
      <c r="B500" s="132"/>
      <c r="C500" s="132"/>
      <c r="D500" s="241" t="s">
        <v>926</v>
      </c>
      <c r="E500" s="242"/>
      <c r="F500" s="241"/>
      <c r="G500" s="76">
        <v>47</v>
      </c>
      <c r="H500" s="27"/>
    </row>
    <row r="501" spans="1:8" x14ac:dyDescent="0.25">
      <c r="A501" s="132" t="s">
        <v>153</v>
      </c>
      <c r="B501" s="132"/>
      <c r="C501" s="132" t="s">
        <v>360</v>
      </c>
      <c r="D501" s="225" t="s">
        <v>579</v>
      </c>
      <c r="E501" s="221"/>
      <c r="F501" s="132" t="s">
        <v>629</v>
      </c>
      <c r="G501" s="77">
        <v>15</v>
      </c>
      <c r="H501" s="12">
        <v>0</v>
      </c>
    </row>
    <row r="502" spans="1:8" ht="12.15" customHeight="1" x14ac:dyDescent="0.25">
      <c r="D502" s="241" t="s">
        <v>927</v>
      </c>
      <c r="E502" s="242"/>
      <c r="F502" s="242"/>
      <c r="G502" s="47">
        <v>3</v>
      </c>
    </row>
    <row r="503" spans="1:8" ht="12.15" customHeight="1" x14ac:dyDescent="0.25">
      <c r="A503" s="132"/>
      <c r="B503" s="132"/>
      <c r="C503" s="132"/>
      <c r="D503" s="241" t="s">
        <v>928</v>
      </c>
      <c r="E503" s="242"/>
      <c r="F503" s="241"/>
      <c r="G503" s="76">
        <v>12</v>
      </c>
      <c r="H503" s="27"/>
    </row>
    <row r="504" spans="1:8" x14ac:dyDescent="0.25">
      <c r="A504" s="132" t="s">
        <v>154</v>
      </c>
      <c r="B504" s="132"/>
      <c r="C504" s="132" t="s">
        <v>361</v>
      </c>
      <c r="D504" s="225" t="s">
        <v>581</v>
      </c>
      <c r="E504" s="221"/>
      <c r="F504" s="132" t="s">
        <v>632</v>
      </c>
      <c r="G504" s="77">
        <v>175</v>
      </c>
      <c r="H504" s="12">
        <v>0</v>
      </c>
    </row>
    <row r="505" spans="1:8" ht="12.15" customHeight="1" x14ac:dyDescent="0.25">
      <c r="D505" s="241" t="s">
        <v>929</v>
      </c>
      <c r="E505" s="242"/>
      <c r="F505" s="242"/>
      <c r="G505" s="47">
        <v>6</v>
      </c>
    </row>
    <row r="506" spans="1:8" ht="12.15" customHeight="1" x14ac:dyDescent="0.25">
      <c r="A506" s="132"/>
      <c r="B506" s="132"/>
      <c r="C506" s="132"/>
      <c r="D506" s="241" t="s">
        <v>930</v>
      </c>
      <c r="E506" s="242"/>
      <c r="F506" s="241"/>
      <c r="G506" s="76">
        <v>169</v>
      </c>
      <c r="H506" s="27"/>
    </row>
    <row r="507" spans="1:8" x14ac:dyDescent="0.25">
      <c r="A507" s="132" t="s">
        <v>155</v>
      </c>
      <c r="B507" s="132"/>
      <c r="C507" s="132" t="s">
        <v>362</v>
      </c>
      <c r="D507" s="225" t="s">
        <v>582</v>
      </c>
      <c r="E507" s="221"/>
      <c r="F507" s="132" t="s">
        <v>632</v>
      </c>
      <c r="G507" s="77">
        <v>4</v>
      </c>
      <c r="H507" s="12">
        <v>0</v>
      </c>
    </row>
    <row r="508" spans="1:8" ht="12.15" customHeight="1" x14ac:dyDescent="0.25">
      <c r="D508" s="241" t="s">
        <v>931</v>
      </c>
      <c r="E508" s="242"/>
      <c r="F508" s="242"/>
      <c r="G508" s="47">
        <v>1</v>
      </c>
    </row>
    <row r="509" spans="1:8" ht="12.15" customHeight="1" x14ac:dyDescent="0.25">
      <c r="A509" s="132"/>
      <c r="B509" s="132"/>
      <c r="C509" s="132"/>
      <c r="D509" s="241" t="s">
        <v>932</v>
      </c>
      <c r="E509" s="242"/>
      <c r="F509" s="241"/>
      <c r="G509" s="76">
        <v>3</v>
      </c>
      <c r="H509" s="27"/>
    </row>
    <row r="510" spans="1:8" x14ac:dyDescent="0.25">
      <c r="A510" s="132" t="s">
        <v>156</v>
      </c>
      <c r="B510" s="132"/>
      <c r="C510" s="132" t="s">
        <v>363</v>
      </c>
      <c r="D510" s="225" t="s">
        <v>583</v>
      </c>
      <c r="E510" s="221"/>
      <c r="F510" s="132" t="s">
        <v>632</v>
      </c>
      <c r="G510" s="77">
        <v>20</v>
      </c>
      <c r="H510" s="12">
        <v>0</v>
      </c>
    </row>
    <row r="511" spans="1:8" ht="12.15" customHeight="1" x14ac:dyDescent="0.25">
      <c r="D511" s="241" t="s">
        <v>929</v>
      </c>
      <c r="E511" s="242"/>
      <c r="F511" s="242"/>
      <c r="G511" s="47">
        <v>6</v>
      </c>
    </row>
    <row r="512" spans="1:8" ht="12.15" customHeight="1" x14ac:dyDescent="0.25">
      <c r="A512" s="132"/>
      <c r="B512" s="132"/>
      <c r="C512" s="132"/>
      <c r="D512" s="241" t="s">
        <v>933</v>
      </c>
      <c r="E512" s="242"/>
      <c r="F512" s="241"/>
      <c r="G512" s="76">
        <v>14</v>
      </c>
      <c r="H512" s="27"/>
    </row>
    <row r="513" spans="1:8" x14ac:dyDescent="0.25">
      <c r="A513" s="134" t="s">
        <v>157</v>
      </c>
      <c r="B513" s="134"/>
      <c r="C513" s="134" t="s">
        <v>364</v>
      </c>
      <c r="D513" s="235" t="s">
        <v>584</v>
      </c>
      <c r="E513" s="231"/>
      <c r="F513" s="134" t="s">
        <v>633</v>
      </c>
      <c r="G513" s="78">
        <v>11.025</v>
      </c>
      <c r="H513" s="13">
        <v>0</v>
      </c>
    </row>
    <row r="514" spans="1:8" ht="12.15" customHeight="1" x14ac:dyDescent="0.25">
      <c r="D514" s="248" t="s">
        <v>934</v>
      </c>
      <c r="E514" s="249"/>
      <c r="F514" s="249"/>
      <c r="G514" s="48">
        <v>2.1</v>
      </c>
    </row>
    <row r="515" spans="1:8" ht="12.15" customHeight="1" x14ac:dyDescent="0.25">
      <c r="A515" s="134"/>
      <c r="B515" s="134"/>
      <c r="C515" s="134"/>
      <c r="D515" s="248" t="s">
        <v>935</v>
      </c>
      <c r="E515" s="249"/>
      <c r="F515" s="248"/>
      <c r="G515" s="79">
        <v>8.4</v>
      </c>
      <c r="H515" s="29"/>
    </row>
    <row r="516" spans="1:8" ht="12.15" customHeight="1" x14ac:dyDescent="0.25">
      <c r="A516" s="134"/>
      <c r="B516" s="134"/>
      <c r="C516" s="134"/>
      <c r="D516" s="248" t="s">
        <v>936</v>
      </c>
      <c r="E516" s="249"/>
      <c r="F516" s="248"/>
      <c r="G516" s="79">
        <v>0.52500000000000002</v>
      </c>
      <c r="H516" s="29"/>
    </row>
    <row r="517" spans="1:8" x14ac:dyDescent="0.25">
      <c r="A517" s="134" t="s">
        <v>158</v>
      </c>
      <c r="B517" s="134"/>
      <c r="C517" s="134" t="s">
        <v>365</v>
      </c>
      <c r="D517" s="235" t="s">
        <v>585</v>
      </c>
      <c r="E517" s="231"/>
      <c r="F517" s="134" t="s">
        <v>633</v>
      </c>
      <c r="G517" s="78">
        <v>65.099999999999994</v>
      </c>
      <c r="H517" s="13">
        <v>0</v>
      </c>
    </row>
    <row r="518" spans="1:8" ht="12.15" customHeight="1" x14ac:dyDescent="0.25">
      <c r="D518" s="248" t="s">
        <v>925</v>
      </c>
      <c r="E518" s="249"/>
      <c r="F518" s="249"/>
      <c r="G518" s="48">
        <v>15</v>
      </c>
    </row>
    <row r="519" spans="1:8" ht="12.15" customHeight="1" x14ac:dyDescent="0.25">
      <c r="A519" s="134"/>
      <c r="B519" s="134"/>
      <c r="C519" s="134"/>
      <c r="D519" s="248" t="s">
        <v>926</v>
      </c>
      <c r="E519" s="249"/>
      <c r="F519" s="248"/>
      <c r="G519" s="79">
        <v>47</v>
      </c>
      <c r="H519" s="29"/>
    </row>
    <row r="520" spans="1:8" ht="12.15" customHeight="1" x14ac:dyDescent="0.25">
      <c r="A520" s="134"/>
      <c r="B520" s="134"/>
      <c r="C520" s="134"/>
      <c r="D520" s="248" t="s">
        <v>937</v>
      </c>
      <c r="E520" s="249"/>
      <c r="F520" s="248"/>
      <c r="G520" s="79">
        <v>3.1</v>
      </c>
      <c r="H520" s="29"/>
    </row>
    <row r="521" spans="1:8" x14ac:dyDescent="0.25">
      <c r="A521" s="134" t="s">
        <v>159</v>
      </c>
      <c r="B521" s="134"/>
      <c r="C521" s="134" t="s">
        <v>366</v>
      </c>
      <c r="D521" s="235" t="s">
        <v>586</v>
      </c>
      <c r="E521" s="231"/>
      <c r="F521" s="134" t="s">
        <v>632</v>
      </c>
      <c r="G521" s="78">
        <v>6</v>
      </c>
      <c r="H521" s="13">
        <v>0</v>
      </c>
    </row>
    <row r="522" spans="1:8" ht="12.15" customHeight="1" x14ac:dyDescent="0.25">
      <c r="D522" s="248" t="s">
        <v>929</v>
      </c>
      <c r="E522" s="249"/>
      <c r="F522" s="249"/>
      <c r="G522" s="48">
        <v>6</v>
      </c>
    </row>
    <row r="523" spans="1:8" x14ac:dyDescent="0.25">
      <c r="A523" s="134" t="s">
        <v>160</v>
      </c>
      <c r="B523" s="134"/>
      <c r="C523" s="134" t="s">
        <v>367</v>
      </c>
      <c r="D523" s="235" t="s">
        <v>587</v>
      </c>
      <c r="E523" s="231"/>
      <c r="F523" s="134" t="s">
        <v>633</v>
      </c>
      <c r="G523" s="78">
        <v>0.375</v>
      </c>
      <c r="H523" s="13">
        <v>0</v>
      </c>
    </row>
    <row r="524" spans="1:8" ht="12.15" customHeight="1" x14ac:dyDescent="0.25">
      <c r="D524" s="248" t="s">
        <v>938</v>
      </c>
      <c r="E524" s="249"/>
      <c r="F524" s="249"/>
      <c r="G524" s="48">
        <v>0.1</v>
      </c>
    </row>
    <row r="525" spans="1:8" ht="12.15" customHeight="1" x14ac:dyDescent="0.25">
      <c r="A525" s="134"/>
      <c r="B525" s="134"/>
      <c r="C525" s="134"/>
      <c r="D525" s="248" t="s">
        <v>939</v>
      </c>
      <c r="E525" s="249"/>
      <c r="F525" s="248"/>
      <c r="G525" s="79">
        <v>0.2</v>
      </c>
      <c r="H525" s="29"/>
    </row>
    <row r="526" spans="1:8" ht="12.15" customHeight="1" x14ac:dyDescent="0.25">
      <c r="A526" s="134"/>
      <c r="B526" s="134"/>
      <c r="C526" s="134"/>
      <c r="D526" s="248" t="s">
        <v>940</v>
      </c>
      <c r="E526" s="249"/>
      <c r="F526" s="248"/>
      <c r="G526" s="79">
        <v>7.4999999999999997E-2</v>
      </c>
      <c r="H526" s="29"/>
    </row>
    <row r="527" spans="1:8" x14ac:dyDescent="0.25">
      <c r="A527" s="134" t="s">
        <v>161</v>
      </c>
      <c r="B527" s="134"/>
      <c r="C527" s="134" t="s">
        <v>368</v>
      </c>
      <c r="D527" s="235" t="s">
        <v>588</v>
      </c>
      <c r="E527" s="231"/>
      <c r="F527" s="134" t="s">
        <v>633</v>
      </c>
      <c r="G527" s="78">
        <v>21.84</v>
      </c>
      <c r="H527" s="13">
        <v>0</v>
      </c>
    </row>
    <row r="528" spans="1:8" ht="12.15" customHeight="1" x14ac:dyDescent="0.25">
      <c r="D528" s="248" t="s">
        <v>941</v>
      </c>
      <c r="E528" s="249"/>
      <c r="F528" s="249"/>
      <c r="G528" s="48">
        <v>20.8</v>
      </c>
    </row>
    <row r="529" spans="1:8" ht="12.15" customHeight="1" x14ac:dyDescent="0.25">
      <c r="A529" s="134"/>
      <c r="B529" s="134"/>
      <c r="C529" s="134"/>
      <c r="D529" s="248" t="s">
        <v>942</v>
      </c>
      <c r="E529" s="249"/>
      <c r="F529" s="248"/>
      <c r="G529" s="79">
        <v>1.04</v>
      </c>
      <c r="H529" s="29"/>
    </row>
    <row r="530" spans="1:8" x14ac:dyDescent="0.25">
      <c r="A530" s="134" t="s">
        <v>162</v>
      </c>
      <c r="B530" s="134"/>
      <c r="C530" s="134" t="s">
        <v>369</v>
      </c>
      <c r="D530" s="235" t="s">
        <v>589</v>
      </c>
      <c r="E530" s="231"/>
      <c r="F530" s="134" t="s">
        <v>632</v>
      </c>
      <c r="G530" s="78">
        <v>11</v>
      </c>
      <c r="H530" s="13">
        <v>0</v>
      </c>
    </row>
    <row r="531" spans="1:8" ht="12.15" customHeight="1" x14ac:dyDescent="0.25">
      <c r="D531" s="248" t="s">
        <v>943</v>
      </c>
      <c r="E531" s="249"/>
      <c r="F531" s="249"/>
      <c r="G531" s="48">
        <v>11</v>
      </c>
    </row>
    <row r="532" spans="1:8" x14ac:dyDescent="0.25">
      <c r="A532" s="134" t="s">
        <v>163</v>
      </c>
      <c r="B532" s="134"/>
      <c r="C532" s="134" t="s">
        <v>370</v>
      </c>
      <c r="D532" s="235" t="s">
        <v>590</v>
      </c>
      <c r="E532" s="231"/>
      <c r="F532" s="134" t="s">
        <v>632</v>
      </c>
      <c r="G532" s="78">
        <v>4</v>
      </c>
      <c r="H532" s="13">
        <v>0</v>
      </c>
    </row>
    <row r="533" spans="1:8" ht="12.15" customHeight="1" x14ac:dyDescent="0.25">
      <c r="D533" s="248" t="s">
        <v>944</v>
      </c>
      <c r="E533" s="249"/>
      <c r="F533" s="249"/>
      <c r="G533" s="48">
        <v>4</v>
      </c>
    </row>
    <row r="534" spans="1:8" x14ac:dyDescent="0.25">
      <c r="A534" s="134" t="s">
        <v>164</v>
      </c>
      <c r="B534" s="134"/>
      <c r="C534" s="134" t="s">
        <v>371</v>
      </c>
      <c r="D534" s="235" t="s">
        <v>591</v>
      </c>
      <c r="E534" s="231"/>
      <c r="F534" s="134" t="s">
        <v>632</v>
      </c>
      <c r="G534" s="78">
        <v>151</v>
      </c>
      <c r="H534" s="13">
        <v>0</v>
      </c>
    </row>
    <row r="535" spans="1:8" ht="12.15" customHeight="1" x14ac:dyDescent="0.25">
      <c r="D535" s="248" t="s">
        <v>945</v>
      </c>
      <c r="E535" s="249"/>
      <c r="F535" s="249"/>
      <c r="G535" s="48">
        <v>151</v>
      </c>
    </row>
    <row r="536" spans="1:8" x14ac:dyDescent="0.25">
      <c r="A536" s="134" t="s">
        <v>165</v>
      </c>
      <c r="B536" s="134"/>
      <c r="C536" s="134" t="s">
        <v>372</v>
      </c>
      <c r="D536" s="235" t="s">
        <v>586</v>
      </c>
      <c r="E536" s="231"/>
      <c r="F536" s="134" t="s">
        <v>632</v>
      </c>
      <c r="G536" s="78">
        <v>14</v>
      </c>
      <c r="H536" s="13">
        <v>0</v>
      </c>
    </row>
    <row r="537" spans="1:8" ht="12.15" customHeight="1" x14ac:dyDescent="0.25">
      <c r="D537" s="248" t="s">
        <v>933</v>
      </c>
      <c r="E537" s="249"/>
      <c r="F537" s="249"/>
      <c r="G537" s="48">
        <v>14</v>
      </c>
    </row>
    <row r="538" spans="1:8" x14ac:dyDescent="0.25">
      <c r="A538" s="134" t="s">
        <v>166</v>
      </c>
      <c r="B538" s="134"/>
      <c r="C538" s="134" t="s">
        <v>373</v>
      </c>
      <c r="D538" s="235" t="s">
        <v>592</v>
      </c>
      <c r="E538" s="231"/>
      <c r="F538" s="134" t="s">
        <v>632</v>
      </c>
      <c r="G538" s="78">
        <v>4</v>
      </c>
      <c r="H538" s="13">
        <v>0</v>
      </c>
    </row>
    <row r="539" spans="1:8" ht="12.15" customHeight="1" x14ac:dyDescent="0.25">
      <c r="D539" s="248" t="s">
        <v>944</v>
      </c>
      <c r="E539" s="249"/>
      <c r="F539" s="249"/>
      <c r="G539" s="48">
        <v>4</v>
      </c>
    </row>
    <row r="540" spans="1:8" x14ac:dyDescent="0.25">
      <c r="A540" s="132" t="s">
        <v>167</v>
      </c>
      <c r="B540" s="132"/>
      <c r="C540" s="132" t="s">
        <v>374</v>
      </c>
      <c r="D540" s="225" t="s">
        <v>593</v>
      </c>
      <c r="E540" s="221"/>
      <c r="F540" s="132" t="s">
        <v>629</v>
      </c>
      <c r="G540" s="77">
        <v>146</v>
      </c>
      <c r="H540" s="12">
        <v>0</v>
      </c>
    </row>
    <row r="541" spans="1:8" ht="12.15" customHeight="1" x14ac:dyDescent="0.25">
      <c r="D541" s="241" t="s">
        <v>946</v>
      </c>
      <c r="E541" s="242"/>
      <c r="F541" s="242"/>
      <c r="G541" s="47">
        <v>146</v>
      </c>
    </row>
    <row r="542" spans="1:8" x14ac:dyDescent="0.25">
      <c r="A542" s="132" t="s">
        <v>168</v>
      </c>
      <c r="B542" s="132"/>
      <c r="C542" s="132" t="s">
        <v>375</v>
      </c>
      <c r="D542" s="225" t="s">
        <v>594</v>
      </c>
      <c r="E542" s="221"/>
      <c r="F542" s="132" t="s">
        <v>632</v>
      </c>
      <c r="G542" s="77">
        <v>5</v>
      </c>
      <c r="H542" s="12">
        <v>0</v>
      </c>
    </row>
    <row r="543" spans="1:8" ht="12.15" customHeight="1" x14ac:dyDescent="0.25">
      <c r="D543" s="241" t="s">
        <v>947</v>
      </c>
      <c r="E543" s="242"/>
      <c r="F543" s="242"/>
      <c r="G543" s="47">
        <v>5</v>
      </c>
    </row>
    <row r="544" spans="1:8" x14ac:dyDescent="0.25">
      <c r="A544" s="132" t="s">
        <v>169</v>
      </c>
      <c r="B544" s="132"/>
      <c r="C544" s="132" t="s">
        <v>376</v>
      </c>
      <c r="D544" s="225" t="s">
        <v>595</v>
      </c>
      <c r="E544" s="221"/>
      <c r="F544" s="132" t="s">
        <v>629</v>
      </c>
      <c r="G544" s="77">
        <v>1.5</v>
      </c>
      <c r="H544" s="12">
        <v>0</v>
      </c>
    </row>
    <row r="545" spans="1:8" ht="12.15" customHeight="1" x14ac:dyDescent="0.25">
      <c r="D545" s="241" t="s">
        <v>948</v>
      </c>
      <c r="E545" s="242"/>
      <c r="F545" s="242"/>
      <c r="G545" s="47">
        <v>1.5</v>
      </c>
    </row>
    <row r="546" spans="1:8" x14ac:dyDescent="0.25">
      <c r="A546" s="132" t="s">
        <v>170</v>
      </c>
      <c r="B546" s="132"/>
      <c r="C546" s="132" t="s">
        <v>377</v>
      </c>
      <c r="D546" s="225" t="s">
        <v>596</v>
      </c>
      <c r="E546" s="221"/>
      <c r="F546" s="132" t="s">
        <v>629</v>
      </c>
      <c r="G546" s="77">
        <v>146</v>
      </c>
      <c r="H546" s="12">
        <v>0</v>
      </c>
    </row>
    <row r="547" spans="1:8" ht="12.15" customHeight="1" x14ac:dyDescent="0.25">
      <c r="D547" s="241" t="s">
        <v>946</v>
      </c>
      <c r="E547" s="242"/>
      <c r="F547" s="242"/>
      <c r="G547" s="47">
        <v>146</v>
      </c>
    </row>
    <row r="548" spans="1:8" x14ac:dyDescent="0.25">
      <c r="A548" s="132" t="s">
        <v>171</v>
      </c>
      <c r="B548" s="132"/>
      <c r="C548" s="132" t="s">
        <v>378</v>
      </c>
      <c r="D548" s="225" t="s">
        <v>597</v>
      </c>
      <c r="E548" s="221"/>
      <c r="F548" s="132" t="s">
        <v>632</v>
      </c>
      <c r="G548" s="77">
        <v>4</v>
      </c>
      <c r="H548" s="12">
        <v>0</v>
      </c>
    </row>
    <row r="549" spans="1:8" ht="12.15" customHeight="1" x14ac:dyDescent="0.25">
      <c r="D549" s="241" t="s">
        <v>944</v>
      </c>
      <c r="E549" s="242"/>
      <c r="F549" s="242"/>
      <c r="G549" s="47">
        <v>4</v>
      </c>
    </row>
    <row r="550" spans="1:8" x14ac:dyDescent="0.25">
      <c r="A550" s="132" t="s">
        <v>172</v>
      </c>
      <c r="B550" s="132"/>
      <c r="C550" s="132" t="s">
        <v>379</v>
      </c>
      <c r="D550" s="225" t="s">
        <v>598</v>
      </c>
      <c r="E550" s="221"/>
      <c r="F550" s="132" t="s">
        <v>632</v>
      </c>
      <c r="G550" s="77">
        <v>4</v>
      </c>
      <c r="H550" s="12">
        <v>0</v>
      </c>
    </row>
    <row r="551" spans="1:8" ht="12.15" customHeight="1" x14ac:dyDescent="0.25">
      <c r="D551" s="241" t="s">
        <v>944</v>
      </c>
      <c r="E551" s="242"/>
      <c r="F551" s="242"/>
      <c r="G551" s="47">
        <v>4</v>
      </c>
    </row>
    <row r="552" spans="1:8" x14ac:dyDescent="0.25">
      <c r="A552" s="132" t="s">
        <v>173</v>
      </c>
      <c r="B552" s="132"/>
      <c r="C552" s="132" t="s">
        <v>380</v>
      </c>
      <c r="D552" s="225" t="s">
        <v>599</v>
      </c>
      <c r="E552" s="221"/>
      <c r="F552" s="132" t="s">
        <v>632</v>
      </c>
      <c r="G552" s="77">
        <v>4</v>
      </c>
      <c r="H552" s="12">
        <v>0</v>
      </c>
    </row>
    <row r="553" spans="1:8" ht="12.15" customHeight="1" x14ac:dyDescent="0.25">
      <c r="D553" s="241" t="s">
        <v>944</v>
      </c>
      <c r="E553" s="242"/>
      <c r="F553" s="242"/>
      <c r="G553" s="47">
        <v>4</v>
      </c>
    </row>
    <row r="554" spans="1:8" x14ac:dyDescent="0.25">
      <c r="A554" s="132" t="s">
        <v>174</v>
      </c>
      <c r="B554" s="132"/>
      <c r="C554" s="132" t="s">
        <v>381</v>
      </c>
      <c r="D554" s="225" t="s">
        <v>600</v>
      </c>
      <c r="E554" s="221"/>
      <c r="F554" s="132" t="s">
        <v>632</v>
      </c>
      <c r="G554" s="77">
        <v>4</v>
      </c>
      <c r="H554" s="12">
        <v>0</v>
      </c>
    </row>
    <row r="555" spans="1:8" ht="12.15" customHeight="1" x14ac:dyDescent="0.25">
      <c r="D555" s="241" t="s">
        <v>944</v>
      </c>
      <c r="E555" s="242"/>
      <c r="F555" s="242"/>
      <c r="G555" s="47">
        <v>4</v>
      </c>
    </row>
    <row r="556" spans="1:8" x14ac:dyDescent="0.25">
      <c r="A556" s="132" t="s">
        <v>175</v>
      </c>
      <c r="B556" s="132"/>
      <c r="C556" s="132" t="s">
        <v>382</v>
      </c>
      <c r="D556" s="225" t="s">
        <v>601</v>
      </c>
      <c r="E556" s="221"/>
      <c r="F556" s="132" t="s">
        <v>632</v>
      </c>
      <c r="G556" s="77">
        <v>1</v>
      </c>
      <c r="H556" s="12">
        <v>0</v>
      </c>
    </row>
    <row r="557" spans="1:8" ht="12.15" customHeight="1" x14ac:dyDescent="0.25">
      <c r="D557" s="241" t="s">
        <v>949</v>
      </c>
      <c r="E557" s="242"/>
      <c r="F557" s="242"/>
      <c r="G557" s="47">
        <v>1</v>
      </c>
    </row>
    <row r="558" spans="1:8" x14ac:dyDescent="0.25">
      <c r="A558" s="132" t="s">
        <v>176</v>
      </c>
      <c r="B558" s="132"/>
      <c r="C558" s="132" t="s">
        <v>383</v>
      </c>
      <c r="D558" s="225" t="s">
        <v>602</v>
      </c>
      <c r="E558" s="221"/>
      <c r="F558" s="132" t="s">
        <v>636</v>
      </c>
      <c r="G558" s="77">
        <v>1</v>
      </c>
      <c r="H558" s="12">
        <v>0</v>
      </c>
    </row>
    <row r="559" spans="1:8" ht="12.15" customHeight="1" x14ac:dyDescent="0.25">
      <c r="D559" s="241" t="s">
        <v>949</v>
      </c>
      <c r="E559" s="242"/>
      <c r="F559" s="242"/>
      <c r="G559" s="47">
        <v>1</v>
      </c>
    </row>
    <row r="560" spans="1:8" x14ac:dyDescent="0.25">
      <c r="A560" s="132" t="s">
        <v>177</v>
      </c>
      <c r="B560" s="132"/>
      <c r="C560" s="132" t="s">
        <v>384</v>
      </c>
      <c r="D560" s="225" t="s">
        <v>603</v>
      </c>
      <c r="E560" s="221"/>
      <c r="F560" s="132" t="s">
        <v>637</v>
      </c>
      <c r="G560" s="77">
        <v>76</v>
      </c>
      <c r="H560" s="12">
        <v>0</v>
      </c>
    </row>
    <row r="561" spans="1:8" ht="12.15" customHeight="1" x14ac:dyDescent="0.25">
      <c r="D561" s="241" t="s">
        <v>950</v>
      </c>
      <c r="E561" s="242"/>
      <c r="F561" s="242"/>
      <c r="G561" s="47">
        <v>76</v>
      </c>
    </row>
    <row r="562" spans="1:8" x14ac:dyDescent="0.25">
      <c r="A562" s="136" t="s">
        <v>178</v>
      </c>
      <c r="B562" s="136"/>
      <c r="C562" s="136" t="s">
        <v>386</v>
      </c>
      <c r="D562" s="254" t="s">
        <v>605</v>
      </c>
      <c r="E562" s="222"/>
      <c r="F562" s="136" t="s">
        <v>638</v>
      </c>
      <c r="G562" s="88">
        <v>1</v>
      </c>
      <c r="H562" s="116">
        <v>0</v>
      </c>
    </row>
    <row r="563" spans="1:8" x14ac:dyDescent="0.25">
      <c r="A563" s="136" t="s">
        <v>179</v>
      </c>
      <c r="B563" s="136"/>
      <c r="C563" s="136" t="s">
        <v>388</v>
      </c>
      <c r="D563" s="254" t="s">
        <v>607</v>
      </c>
      <c r="E563" s="222"/>
      <c r="F563" s="136" t="s">
        <v>627</v>
      </c>
      <c r="G563" s="88">
        <v>12.834</v>
      </c>
      <c r="H563" s="116">
        <v>0</v>
      </c>
    </row>
    <row r="564" spans="1:8" x14ac:dyDescent="0.25">
      <c r="A564" s="137" t="s">
        <v>180</v>
      </c>
      <c r="B564" s="137"/>
      <c r="C564" s="137" t="s">
        <v>389</v>
      </c>
      <c r="D564" s="245" t="s">
        <v>608</v>
      </c>
      <c r="E564" s="224"/>
      <c r="F564" s="137" t="s">
        <v>627</v>
      </c>
      <c r="G564" s="92">
        <v>41.823</v>
      </c>
      <c r="H564" s="111">
        <v>0</v>
      </c>
    </row>
    <row r="565" spans="1:8" ht="12.15" customHeight="1" x14ac:dyDescent="0.25">
      <c r="D565" s="241" t="s">
        <v>951</v>
      </c>
      <c r="E565" s="242"/>
      <c r="F565" s="242"/>
      <c r="G565" s="47">
        <v>41.823</v>
      </c>
    </row>
    <row r="566" spans="1:8" x14ac:dyDescent="0.25">
      <c r="A566" s="132" t="s">
        <v>181</v>
      </c>
      <c r="B566" s="132"/>
      <c r="C566" s="132" t="s">
        <v>390</v>
      </c>
      <c r="D566" s="225" t="s">
        <v>609</v>
      </c>
      <c r="E566" s="221"/>
      <c r="F566" s="132" t="s">
        <v>627</v>
      </c>
      <c r="G566" s="77">
        <v>0.42899999999999999</v>
      </c>
      <c r="H566" s="12">
        <v>0</v>
      </c>
    </row>
    <row r="567" spans="1:8" x14ac:dyDescent="0.25">
      <c r="A567" s="132" t="s">
        <v>182</v>
      </c>
      <c r="B567" s="132"/>
      <c r="C567" s="132" t="s">
        <v>391</v>
      </c>
      <c r="D567" s="225" t="s">
        <v>610</v>
      </c>
      <c r="E567" s="221"/>
      <c r="F567" s="132" t="s">
        <v>627</v>
      </c>
      <c r="G567" s="77">
        <v>0.13400000000000001</v>
      </c>
      <c r="H567" s="12">
        <v>0</v>
      </c>
    </row>
    <row r="568" spans="1:8" x14ac:dyDescent="0.25">
      <c r="A568" s="132" t="s">
        <v>183</v>
      </c>
      <c r="B568" s="132"/>
      <c r="C568" s="132" t="s">
        <v>392</v>
      </c>
      <c r="D568" s="225" t="s">
        <v>611</v>
      </c>
      <c r="E568" s="221"/>
      <c r="F568" s="132" t="s">
        <v>627</v>
      </c>
      <c r="G568" s="77">
        <v>1.486</v>
      </c>
      <c r="H568" s="12">
        <v>0</v>
      </c>
    </row>
    <row r="569" spans="1:8" x14ac:dyDescent="0.25">
      <c r="A569" s="132" t="s">
        <v>184</v>
      </c>
      <c r="B569" s="132"/>
      <c r="C569" s="132" t="s">
        <v>393</v>
      </c>
      <c r="D569" s="225" t="s">
        <v>612</v>
      </c>
      <c r="E569" s="221"/>
      <c r="F569" s="132" t="s">
        <v>627</v>
      </c>
      <c r="G569" s="77">
        <v>0.41599999999999998</v>
      </c>
      <c r="H569" s="12">
        <v>0</v>
      </c>
    </row>
    <row r="570" spans="1:8" x14ac:dyDescent="0.25">
      <c r="A570" s="132" t="s">
        <v>185</v>
      </c>
      <c r="B570" s="132"/>
      <c r="C570" s="132" t="s">
        <v>394</v>
      </c>
      <c r="D570" s="225" t="s">
        <v>613</v>
      </c>
      <c r="E570" s="221"/>
      <c r="F570" s="132" t="s">
        <v>627</v>
      </c>
      <c r="G570" s="77">
        <v>0.33100000000000002</v>
      </c>
      <c r="H570" s="12">
        <v>0</v>
      </c>
    </row>
    <row r="571" spans="1:8" x14ac:dyDescent="0.25">
      <c r="A571" s="132" t="s">
        <v>186</v>
      </c>
      <c r="B571" s="132"/>
      <c r="C571" s="132" t="s">
        <v>395</v>
      </c>
      <c r="D571" s="225" t="s">
        <v>614</v>
      </c>
      <c r="E571" s="221"/>
      <c r="F571" s="132" t="s">
        <v>627</v>
      </c>
      <c r="G571" s="77">
        <v>1.9E-2</v>
      </c>
      <c r="H571" s="12">
        <v>0</v>
      </c>
    </row>
    <row r="572" spans="1:8" x14ac:dyDescent="0.25">
      <c r="A572" s="132" t="s">
        <v>187</v>
      </c>
      <c r="B572" s="132"/>
      <c r="C572" s="132" t="s">
        <v>396</v>
      </c>
      <c r="D572" s="225" t="s">
        <v>615</v>
      </c>
      <c r="E572" s="221"/>
      <c r="F572" s="132" t="s">
        <v>627</v>
      </c>
      <c r="G572" s="77">
        <v>0.41699999999999998</v>
      </c>
      <c r="H572" s="12">
        <v>0</v>
      </c>
    </row>
    <row r="573" spans="1:8" x14ac:dyDescent="0.25">
      <c r="A573" s="136" t="s">
        <v>188</v>
      </c>
      <c r="B573" s="136"/>
      <c r="C573" s="136" t="s">
        <v>397</v>
      </c>
      <c r="D573" s="254" t="s">
        <v>616</v>
      </c>
      <c r="E573" s="222"/>
      <c r="F573" s="136" t="s">
        <v>627</v>
      </c>
      <c r="G573" s="88">
        <v>31.484000000000002</v>
      </c>
      <c r="H573" s="116">
        <v>0</v>
      </c>
    </row>
    <row r="574" spans="1:8" x14ac:dyDescent="0.25">
      <c r="A574" s="137" t="s">
        <v>189</v>
      </c>
      <c r="B574" s="137"/>
      <c r="C574" s="137" t="s">
        <v>398</v>
      </c>
      <c r="D574" s="245" t="s">
        <v>617</v>
      </c>
      <c r="E574" s="224"/>
      <c r="F574" s="137" t="s">
        <v>627</v>
      </c>
      <c r="G574" s="92">
        <v>160.90299999999999</v>
      </c>
      <c r="H574" s="111">
        <v>0</v>
      </c>
    </row>
    <row r="575" spans="1:8" ht="12.15" customHeight="1" x14ac:dyDescent="0.25">
      <c r="D575" s="241" t="s">
        <v>952</v>
      </c>
      <c r="E575" s="242"/>
      <c r="F575" s="242"/>
      <c r="G575" s="47">
        <v>160.90299999999999</v>
      </c>
    </row>
    <row r="576" spans="1:8" x14ac:dyDescent="0.25">
      <c r="A576" s="137" t="s">
        <v>190</v>
      </c>
      <c r="B576" s="137"/>
      <c r="C576" s="137" t="s">
        <v>399</v>
      </c>
      <c r="D576" s="245" t="s">
        <v>618</v>
      </c>
      <c r="E576" s="224"/>
      <c r="F576" s="137" t="s">
        <v>627</v>
      </c>
      <c r="G576" s="92">
        <v>3218.06</v>
      </c>
      <c r="H576" s="111">
        <v>0</v>
      </c>
    </row>
    <row r="577" spans="1:7" ht="12.15" customHeight="1" x14ac:dyDescent="0.25">
      <c r="D577" s="241" t="s">
        <v>953</v>
      </c>
      <c r="E577" s="242"/>
      <c r="F577" s="242"/>
      <c r="G577" s="47">
        <v>3218.06</v>
      </c>
    </row>
    <row r="579" spans="1:7" ht="11.25" customHeight="1" x14ac:dyDescent="0.25">
      <c r="A579" s="7" t="s">
        <v>191</v>
      </c>
    </row>
    <row r="580" spans="1:7" ht="51.45" customHeight="1" x14ac:dyDescent="0.25">
      <c r="A580" s="154" t="s">
        <v>192</v>
      </c>
      <c r="B580" s="145"/>
      <c r="C580" s="145"/>
      <c r="D580" s="145"/>
      <c r="E580" s="145"/>
      <c r="F580" s="145"/>
      <c r="G580" s="145"/>
    </row>
  </sheetData>
  <sheetProtection algorithmName="SHA-512" hashValue="fzbNDgUxklJHkainKPEQHyofzF4Lp3xuWDyXXtIVrOgSEQfxouZtQYEDQD6XIYlp/yK1sC2XnDBxE53Z/laNEA==" saltValue="m/P4Qc2Y16bgsCUO6xafGA==" spinCount="100000" sheet="1" objects="1" scenarios="1"/>
  <mergeCells count="586">
    <mergeCell ref="D569:E569"/>
    <mergeCell ref="D570:E570"/>
    <mergeCell ref="D577:F577"/>
    <mergeCell ref="A580:G580"/>
    <mergeCell ref="D571:E571"/>
    <mergeCell ref="D572:E572"/>
    <mergeCell ref="D573:E573"/>
    <mergeCell ref="D574:E574"/>
    <mergeCell ref="D575:F575"/>
    <mergeCell ref="D576:E576"/>
    <mergeCell ref="D560:E560"/>
    <mergeCell ref="D561:F561"/>
    <mergeCell ref="D562:E562"/>
    <mergeCell ref="D563:E563"/>
    <mergeCell ref="D564:E564"/>
    <mergeCell ref="D565:F565"/>
    <mergeCell ref="D566:E566"/>
    <mergeCell ref="D567:E567"/>
    <mergeCell ref="D568:E568"/>
    <mergeCell ref="D551:F551"/>
    <mergeCell ref="D552:E552"/>
    <mergeCell ref="D553:F553"/>
    <mergeCell ref="D554:E554"/>
    <mergeCell ref="D555:F555"/>
    <mergeCell ref="D556:E556"/>
    <mergeCell ref="D557:F557"/>
    <mergeCell ref="D558:E558"/>
    <mergeCell ref="D559:F559"/>
    <mergeCell ref="D542:E542"/>
    <mergeCell ref="D543:F543"/>
    <mergeCell ref="D544:E544"/>
    <mergeCell ref="D545:F545"/>
    <mergeCell ref="D546:E546"/>
    <mergeCell ref="D547:F547"/>
    <mergeCell ref="D548:E548"/>
    <mergeCell ref="D549:F549"/>
    <mergeCell ref="D550:E550"/>
    <mergeCell ref="D533:F533"/>
    <mergeCell ref="D534:E534"/>
    <mergeCell ref="D535:F535"/>
    <mergeCell ref="D536:E536"/>
    <mergeCell ref="D537:F537"/>
    <mergeCell ref="D538:E538"/>
    <mergeCell ref="D539:F539"/>
    <mergeCell ref="D540:E540"/>
    <mergeCell ref="D541:F541"/>
    <mergeCell ref="D524:F524"/>
    <mergeCell ref="D525:F525"/>
    <mergeCell ref="D526:F526"/>
    <mergeCell ref="D527:E527"/>
    <mergeCell ref="D528:F528"/>
    <mergeCell ref="D529:F529"/>
    <mergeCell ref="D530:E530"/>
    <mergeCell ref="D531:F531"/>
    <mergeCell ref="D532:E532"/>
    <mergeCell ref="D515:F515"/>
    <mergeCell ref="D516:F516"/>
    <mergeCell ref="D517:E517"/>
    <mergeCell ref="D518:F518"/>
    <mergeCell ref="D519:F519"/>
    <mergeCell ref="D520:F520"/>
    <mergeCell ref="D521:E521"/>
    <mergeCell ref="D522:F522"/>
    <mergeCell ref="D523:E523"/>
    <mergeCell ref="D506:F506"/>
    <mergeCell ref="D507:E507"/>
    <mergeCell ref="D508:F508"/>
    <mergeCell ref="D509:F509"/>
    <mergeCell ref="D510:E510"/>
    <mergeCell ref="D511:F511"/>
    <mergeCell ref="D512:F512"/>
    <mergeCell ref="D513:E513"/>
    <mergeCell ref="D514:F514"/>
    <mergeCell ref="D497:E497"/>
    <mergeCell ref="D498:E498"/>
    <mergeCell ref="D499:F499"/>
    <mergeCell ref="D500:F500"/>
    <mergeCell ref="D501:E501"/>
    <mergeCell ref="D502:F502"/>
    <mergeCell ref="D503:F503"/>
    <mergeCell ref="D504:E504"/>
    <mergeCell ref="D505:F505"/>
    <mergeCell ref="D488:F488"/>
    <mergeCell ref="D489:E489"/>
    <mergeCell ref="D490:F490"/>
    <mergeCell ref="D491:E491"/>
    <mergeCell ref="D492:F492"/>
    <mergeCell ref="D493:E493"/>
    <mergeCell ref="D494:F494"/>
    <mergeCell ref="D495:E495"/>
    <mergeCell ref="D496:E496"/>
    <mergeCell ref="D479:E479"/>
    <mergeCell ref="D480:F480"/>
    <mergeCell ref="D481:F481"/>
    <mergeCell ref="D482:F482"/>
    <mergeCell ref="D483:F483"/>
    <mergeCell ref="D484:F484"/>
    <mergeCell ref="D485:F485"/>
    <mergeCell ref="D486:E486"/>
    <mergeCell ref="D487:F487"/>
    <mergeCell ref="D470:E470"/>
    <mergeCell ref="D471:F471"/>
    <mergeCell ref="D472:E472"/>
    <mergeCell ref="D473:F473"/>
    <mergeCell ref="D474:F474"/>
    <mergeCell ref="D475:F475"/>
    <mergeCell ref="D476:F476"/>
    <mergeCell ref="D477:E477"/>
    <mergeCell ref="D478:F478"/>
    <mergeCell ref="D461:E461"/>
    <mergeCell ref="D462:F462"/>
    <mergeCell ref="D463:F463"/>
    <mergeCell ref="D464:E464"/>
    <mergeCell ref="D465:F465"/>
    <mergeCell ref="D466:F466"/>
    <mergeCell ref="D467:F467"/>
    <mergeCell ref="D468:E468"/>
    <mergeCell ref="D469:F469"/>
    <mergeCell ref="D452:F452"/>
    <mergeCell ref="D453:E453"/>
    <mergeCell ref="D454:F454"/>
    <mergeCell ref="D455:F455"/>
    <mergeCell ref="D456:F456"/>
    <mergeCell ref="D457:E457"/>
    <mergeCell ref="D458:F458"/>
    <mergeCell ref="D459:E459"/>
    <mergeCell ref="D460:F460"/>
    <mergeCell ref="D443:F443"/>
    <mergeCell ref="D444:E444"/>
    <mergeCell ref="D445:F445"/>
    <mergeCell ref="D446:F446"/>
    <mergeCell ref="D447:F447"/>
    <mergeCell ref="D448:E448"/>
    <mergeCell ref="D449:F449"/>
    <mergeCell ref="D450:F450"/>
    <mergeCell ref="D451:E451"/>
    <mergeCell ref="D434:E434"/>
    <mergeCell ref="D435:F435"/>
    <mergeCell ref="D436:F436"/>
    <mergeCell ref="D437:F437"/>
    <mergeCell ref="D438:E438"/>
    <mergeCell ref="D439:F439"/>
    <mergeCell ref="D440:E440"/>
    <mergeCell ref="D441:F441"/>
    <mergeCell ref="D442:E442"/>
    <mergeCell ref="D425:E425"/>
    <mergeCell ref="D426:F426"/>
    <mergeCell ref="D427:E427"/>
    <mergeCell ref="D428:F428"/>
    <mergeCell ref="D429:E429"/>
    <mergeCell ref="D430:E430"/>
    <mergeCell ref="D431:F431"/>
    <mergeCell ref="D432:F432"/>
    <mergeCell ref="D433:F433"/>
    <mergeCell ref="D416:F416"/>
    <mergeCell ref="D417:E417"/>
    <mergeCell ref="D418:E418"/>
    <mergeCell ref="D419:F419"/>
    <mergeCell ref="D420:E420"/>
    <mergeCell ref="D421:F421"/>
    <mergeCell ref="D422:E422"/>
    <mergeCell ref="D423:F423"/>
    <mergeCell ref="D424:F424"/>
    <mergeCell ref="D407:F407"/>
    <mergeCell ref="D408:F408"/>
    <mergeCell ref="D409:F409"/>
    <mergeCell ref="D410:F410"/>
    <mergeCell ref="D411:F411"/>
    <mergeCell ref="D412:F412"/>
    <mergeCell ref="D413:E413"/>
    <mergeCell ref="D414:F414"/>
    <mergeCell ref="D415:F415"/>
    <mergeCell ref="D398:F398"/>
    <mergeCell ref="D399:F399"/>
    <mergeCell ref="D400:E400"/>
    <mergeCell ref="D401:F401"/>
    <mergeCell ref="D402:F402"/>
    <mergeCell ref="D403:F403"/>
    <mergeCell ref="D404:F404"/>
    <mergeCell ref="D405:F405"/>
    <mergeCell ref="D406:F406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80:F380"/>
    <mergeCell ref="D381:F381"/>
    <mergeCell ref="D382:E382"/>
    <mergeCell ref="D383:F383"/>
    <mergeCell ref="D384:F384"/>
    <mergeCell ref="D385:F385"/>
    <mergeCell ref="D386:F386"/>
    <mergeCell ref="D387:E387"/>
    <mergeCell ref="D388:F388"/>
    <mergeCell ref="D371:F371"/>
    <mergeCell ref="D372:F372"/>
    <mergeCell ref="D373:F373"/>
    <mergeCell ref="D374:F374"/>
    <mergeCell ref="D375:F375"/>
    <mergeCell ref="D376:F376"/>
    <mergeCell ref="D377:E377"/>
    <mergeCell ref="D378:F378"/>
    <mergeCell ref="D379:F379"/>
    <mergeCell ref="D362:F362"/>
    <mergeCell ref="D363:E363"/>
    <mergeCell ref="D364:F364"/>
    <mergeCell ref="D365:F365"/>
    <mergeCell ref="D366:F366"/>
    <mergeCell ref="D367:F367"/>
    <mergeCell ref="D368:E368"/>
    <mergeCell ref="D369:E369"/>
    <mergeCell ref="D370:F370"/>
    <mergeCell ref="D353:F353"/>
    <mergeCell ref="D354:F354"/>
    <mergeCell ref="D355:E355"/>
    <mergeCell ref="D356:F356"/>
    <mergeCell ref="D357:F357"/>
    <mergeCell ref="D358:F358"/>
    <mergeCell ref="D359:F359"/>
    <mergeCell ref="D360:F360"/>
    <mergeCell ref="D361:F361"/>
    <mergeCell ref="D344:E344"/>
    <mergeCell ref="D345:F345"/>
    <mergeCell ref="D346:F346"/>
    <mergeCell ref="D347:F347"/>
    <mergeCell ref="D348:F348"/>
    <mergeCell ref="D349:F349"/>
    <mergeCell ref="D350:E350"/>
    <mergeCell ref="D351:F351"/>
    <mergeCell ref="D352:F352"/>
    <mergeCell ref="D335:F335"/>
    <mergeCell ref="D336:F336"/>
    <mergeCell ref="D337:F337"/>
    <mergeCell ref="D338:F338"/>
    <mergeCell ref="D339:E339"/>
    <mergeCell ref="D340:F340"/>
    <mergeCell ref="D341:F341"/>
    <mergeCell ref="D342:F342"/>
    <mergeCell ref="D343:F343"/>
    <mergeCell ref="D326:E326"/>
    <mergeCell ref="D327:F327"/>
    <mergeCell ref="D328:F328"/>
    <mergeCell ref="D329:E329"/>
    <mergeCell ref="D330:F330"/>
    <mergeCell ref="D331:F331"/>
    <mergeCell ref="D332:E332"/>
    <mergeCell ref="D333:E333"/>
    <mergeCell ref="D334:F334"/>
    <mergeCell ref="D317:E317"/>
    <mergeCell ref="D318:E318"/>
    <mergeCell ref="D319:F319"/>
    <mergeCell ref="D320:E320"/>
    <mergeCell ref="D321:F321"/>
    <mergeCell ref="D322:E322"/>
    <mergeCell ref="D323:E323"/>
    <mergeCell ref="D324:F324"/>
    <mergeCell ref="D325:F325"/>
    <mergeCell ref="D308:F308"/>
    <mergeCell ref="D309:E309"/>
    <mergeCell ref="D310:F310"/>
    <mergeCell ref="D311:F311"/>
    <mergeCell ref="D312:F312"/>
    <mergeCell ref="D313:E313"/>
    <mergeCell ref="D314:F314"/>
    <mergeCell ref="D315:E315"/>
    <mergeCell ref="D316:F316"/>
    <mergeCell ref="D299:E299"/>
    <mergeCell ref="D300:F300"/>
    <mergeCell ref="D301:F301"/>
    <mergeCell ref="D302:F302"/>
    <mergeCell ref="D303:F303"/>
    <mergeCell ref="D304:E304"/>
    <mergeCell ref="D305:F305"/>
    <mergeCell ref="D306:F306"/>
    <mergeCell ref="D307:F307"/>
    <mergeCell ref="D290:E290"/>
    <mergeCell ref="D291:F291"/>
    <mergeCell ref="D292:E292"/>
    <mergeCell ref="D293:F293"/>
    <mergeCell ref="D294:F294"/>
    <mergeCell ref="D295:E295"/>
    <mergeCell ref="D296:F296"/>
    <mergeCell ref="D297:E297"/>
    <mergeCell ref="D298:F298"/>
    <mergeCell ref="D281:F281"/>
    <mergeCell ref="D282:F282"/>
    <mergeCell ref="D283:E283"/>
    <mergeCell ref="D284:F284"/>
    <mergeCell ref="D285:F285"/>
    <mergeCell ref="D286:F286"/>
    <mergeCell ref="D287:E287"/>
    <mergeCell ref="D288:E288"/>
    <mergeCell ref="D289:F289"/>
    <mergeCell ref="D272:F272"/>
    <mergeCell ref="D273:F273"/>
    <mergeCell ref="D274:F274"/>
    <mergeCell ref="D275:E275"/>
    <mergeCell ref="D276:F276"/>
    <mergeCell ref="D277:F277"/>
    <mergeCell ref="D278:E278"/>
    <mergeCell ref="D279:E279"/>
    <mergeCell ref="D280:F280"/>
    <mergeCell ref="D263:E263"/>
    <mergeCell ref="D264:F264"/>
    <mergeCell ref="D265:F265"/>
    <mergeCell ref="D266:F266"/>
    <mergeCell ref="D267:E267"/>
    <mergeCell ref="D268:F268"/>
    <mergeCell ref="D269:F269"/>
    <mergeCell ref="D270:F270"/>
    <mergeCell ref="D271:E271"/>
    <mergeCell ref="D254:F254"/>
    <mergeCell ref="D255:E255"/>
    <mergeCell ref="D256:F256"/>
    <mergeCell ref="D257:F257"/>
    <mergeCell ref="D258:F258"/>
    <mergeCell ref="D259:E259"/>
    <mergeCell ref="D260:F260"/>
    <mergeCell ref="D261:F261"/>
    <mergeCell ref="D262:F262"/>
    <mergeCell ref="D245:F245"/>
    <mergeCell ref="D246:F246"/>
    <mergeCell ref="D247:F247"/>
    <mergeCell ref="D248:E248"/>
    <mergeCell ref="D249:F249"/>
    <mergeCell ref="D250:F250"/>
    <mergeCell ref="D251:F251"/>
    <mergeCell ref="D252:F252"/>
    <mergeCell ref="D253:F253"/>
    <mergeCell ref="D236:E236"/>
    <mergeCell ref="D237:F237"/>
    <mergeCell ref="D238:F238"/>
    <mergeCell ref="D239:F239"/>
    <mergeCell ref="D240:E240"/>
    <mergeCell ref="D241:F241"/>
    <mergeCell ref="D242:F242"/>
    <mergeCell ref="D243:F243"/>
    <mergeCell ref="D244:E244"/>
    <mergeCell ref="D227:F227"/>
    <mergeCell ref="D228:F228"/>
    <mergeCell ref="D229:F229"/>
    <mergeCell ref="D230:F230"/>
    <mergeCell ref="D231:F231"/>
    <mergeCell ref="D232:E232"/>
    <mergeCell ref="D233:E233"/>
    <mergeCell ref="D234:F234"/>
    <mergeCell ref="D235:F235"/>
    <mergeCell ref="D218:F218"/>
    <mergeCell ref="D219:F219"/>
    <mergeCell ref="D220:F220"/>
    <mergeCell ref="D221:E221"/>
    <mergeCell ref="D222:F222"/>
    <mergeCell ref="D223:F223"/>
    <mergeCell ref="D224:E224"/>
    <mergeCell ref="D225:F225"/>
    <mergeCell ref="D226:F226"/>
    <mergeCell ref="D209:F209"/>
    <mergeCell ref="D210:E210"/>
    <mergeCell ref="D211:F211"/>
    <mergeCell ref="D212:E212"/>
    <mergeCell ref="D213:E213"/>
    <mergeCell ref="D214:F214"/>
    <mergeCell ref="D215:F215"/>
    <mergeCell ref="D216:F216"/>
    <mergeCell ref="D217:F217"/>
    <mergeCell ref="D200:F200"/>
    <mergeCell ref="D201:E201"/>
    <mergeCell ref="D202:F202"/>
    <mergeCell ref="D203:E203"/>
    <mergeCell ref="D204:E204"/>
    <mergeCell ref="D205:F205"/>
    <mergeCell ref="D206:E206"/>
    <mergeCell ref="D207:F207"/>
    <mergeCell ref="D208:E208"/>
    <mergeCell ref="D191:F191"/>
    <mergeCell ref="D192:F192"/>
    <mergeCell ref="D193:F193"/>
    <mergeCell ref="D194:E194"/>
    <mergeCell ref="D195:E195"/>
    <mergeCell ref="D196:F196"/>
    <mergeCell ref="D197:E197"/>
    <mergeCell ref="D198:F198"/>
    <mergeCell ref="D199:E199"/>
    <mergeCell ref="D182:F182"/>
    <mergeCell ref="D183:F183"/>
    <mergeCell ref="D184:F184"/>
    <mergeCell ref="D185:F185"/>
    <mergeCell ref="D186:F186"/>
    <mergeCell ref="D187:E187"/>
    <mergeCell ref="D188:F188"/>
    <mergeCell ref="D189:F189"/>
    <mergeCell ref="D190:F190"/>
    <mergeCell ref="D173:F173"/>
    <mergeCell ref="D174:F174"/>
    <mergeCell ref="D175:F175"/>
    <mergeCell ref="D176:F176"/>
    <mergeCell ref="D177:F177"/>
    <mergeCell ref="D178:F178"/>
    <mergeCell ref="D179:E179"/>
    <mergeCell ref="D180:F180"/>
    <mergeCell ref="D181:F181"/>
    <mergeCell ref="D164:E164"/>
    <mergeCell ref="D165:E165"/>
    <mergeCell ref="D166:F166"/>
    <mergeCell ref="D167:F167"/>
    <mergeCell ref="D168:F168"/>
    <mergeCell ref="D169:F169"/>
    <mergeCell ref="D170:F170"/>
    <mergeCell ref="D171:F171"/>
    <mergeCell ref="D172:E172"/>
    <mergeCell ref="D155:E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46:F146"/>
    <mergeCell ref="D147:F147"/>
    <mergeCell ref="D148:E148"/>
    <mergeCell ref="D149:F149"/>
    <mergeCell ref="D150:F150"/>
    <mergeCell ref="D151:E151"/>
    <mergeCell ref="D152:F152"/>
    <mergeCell ref="D153:F153"/>
    <mergeCell ref="D154:E154"/>
    <mergeCell ref="D137:F137"/>
    <mergeCell ref="D138:E138"/>
    <mergeCell ref="D139:F139"/>
    <mergeCell ref="D140:E140"/>
    <mergeCell ref="D141:F141"/>
    <mergeCell ref="D142:E142"/>
    <mergeCell ref="D143:F143"/>
    <mergeCell ref="D144:E144"/>
    <mergeCell ref="D145:F145"/>
    <mergeCell ref="D128:E128"/>
    <mergeCell ref="D129:F129"/>
    <mergeCell ref="D130:F130"/>
    <mergeCell ref="D131:F131"/>
    <mergeCell ref="D132:F132"/>
    <mergeCell ref="D133:E133"/>
    <mergeCell ref="D134:F134"/>
    <mergeCell ref="D135:F135"/>
    <mergeCell ref="D136:F136"/>
    <mergeCell ref="D119:F119"/>
    <mergeCell ref="D120:E120"/>
    <mergeCell ref="D121:F121"/>
    <mergeCell ref="D122:F122"/>
    <mergeCell ref="D123:F123"/>
    <mergeCell ref="D124:E124"/>
    <mergeCell ref="D125:F125"/>
    <mergeCell ref="D126:F126"/>
    <mergeCell ref="D127:F127"/>
    <mergeCell ref="D110:F110"/>
    <mergeCell ref="D111:F111"/>
    <mergeCell ref="D112:E112"/>
    <mergeCell ref="D113:F113"/>
    <mergeCell ref="D114:F114"/>
    <mergeCell ref="D115:F115"/>
    <mergeCell ref="D116:F116"/>
    <mergeCell ref="D117:F117"/>
    <mergeCell ref="D118:F118"/>
    <mergeCell ref="D101:F101"/>
    <mergeCell ref="D102:E102"/>
    <mergeCell ref="D103:F103"/>
    <mergeCell ref="D104:F104"/>
    <mergeCell ref="D105:F105"/>
    <mergeCell ref="D106:F106"/>
    <mergeCell ref="D107:E107"/>
    <mergeCell ref="D108:F108"/>
    <mergeCell ref="D109:F109"/>
    <mergeCell ref="D92:F92"/>
    <mergeCell ref="D93:F93"/>
    <mergeCell ref="D94:F94"/>
    <mergeCell ref="D95:E95"/>
    <mergeCell ref="D96:F96"/>
    <mergeCell ref="D97:F97"/>
    <mergeCell ref="D98:F98"/>
    <mergeCell ref="D99:F99"/>
    <mergeCell ref="D100:F100"/>
    <mergeCell ref="D86:E86"/>
    <mergeCell ref="D87:F87"/>
    <mergeCell ref="D88:E88"/>
    <mergeCell ref="D89:F89"/>
    <mergeCell ref="D90:F90"/>
    <mergeCell ref="D91:F91"/>
    <mergeCell ref="D83:E83"/>
    <mergeCell ref="D84:F84"/>
    <mergeCell ref="D85:F85"/>
    <mergeCell ref="D74:E74"/>
    <mergeCell ref="D75:F75"/>
    <mergeCell ref="D76:E76"/>
    <mergeCell ref="D77:F77"/>
    <mergeCell ref="D78:F78"/>
    <mergeCell ref="D79:E79"/>
    <mergeCell ref="D80:F80"/>
    <mergeCell ref="D81:E81"/>
    <mergeCell ref="D82:F82"/>
    <mergeCell ref="D65:E65"/>
    <mergeCell ref="D66:F66"/>
    <mergeCell ref="D67:F67"/>
    <mergeCell ref="D68:E68"/>
    <mergeCell ref="D69:F69"/>
    <mergeCell ref="D70:E70"/>
    <mergeCell ref="D71:F71"/>
    <mergeCell ref="D72:F72"/>
    <mergeCell ref="D73:F73"/>
    <mergeCell ref="D56:E56"/>
    <mergeCell ref="D57:F57"/>
    <mergeCell ref="D58:E58"/>
    <mergeCell ref="D59:F59"/>
    <mergeCell ref="D60:E60"/>
    <mergeCell ref="D61:F61"/>
    <mergeCell ref="D62:F62"/>
    <mergeCell ref="D63:F63"/>
    <mergeCell ref="D64:F64"/>
    <mergeCell ref="D47:F47"/>
    <mergeCell ref="D48:E48"/>
    <mergeCell ref="D49:F49"/>
    <mergeCell ref="D50:E50"/>
    <mergeCell ref="D51:F51"/>
    <mergeCell ref="D52:F52"/>
    <mergeCell ref="D53:F53"/>
    <mergeCell ref="D54:E54"/>
    <mergeCell ref="D55:F55"/>
    <mergeCell ref="D38:E38"/>
    <mergeCell ref="D39:F39"/>
    <mergeCell ref="D40:E40"/>
    <mergeCell ref="D41:F41"/>
    <mergeCell ref="D42:E42"/>
    <mergeCell ref="D43:F43"/>
    <mergeCell ref="D44:E44"/>
    <mergeCell ref="D45:F45"/>
    <mergeCell ref="D46:E46"/>
    <mergeCell ref="D29:E29"/>
    <mergeCell ref="D30:F30"/>
    <mergeCell ref="D31:F31"/>
    <mergeCell ref="D32:F32"/>
    <mergeCell ref="D33:E33"/>
    <mergeCell ref="D34:F34"/>
    <mergeCell ref="D35:E35"/>
    <mergeCell ref="D36:F36"/>
    <mergeCell ref="D37:F37"/>
    <mergeCell ref="D20:E20"/>
    <mergeCell ref="D21:F21"/>
    <mergeCell ref="D22:F22"/>
    <mergeCell ref="D23:E23"/>
    <mergeCell ref="D24:F24"/>
    <mergeCell ref="D25:E25"/>
    <mergeCell ref="D26:F26"/>
    <mergeCell ref="D27:F27"/>
    <mergeCell ref="D28:F28"/>
    <mergeCell ref="D11:E11"/>
    <mergeCell ref="D12:F12"/>
    <mergeCell ref="D13:F13"/>
    <mergeCell ref="D14:F14"/>
    <mergeCell ref="D15:E15"/>
    <mergeCell ref="D16:F16"/>
    <mergeCell ref="D17:F17"/>
    <mergeCell ref="D18:E18"/>
    <mergeCell ref="D19:F19"/>
    <mergeCell ref="A6:B7"/>
    <mergeCell ref="C6:D7"/>
    <mergeCell ref="E6:E7"/>
    <mergeCell ref="F6:H7"/>
    <mergeCell ref="A8:B9"/>
    <mergeCell ref="C8:D9"/>
    <mergeCell ref="E8:E9"/>
    <mergeCell ref="F8:H9"/>
    <mergeCell ref="D10:E10"/>
    <mergeCell ref="A1:H1"/>
    <mergeCell ref="A2:B3"/>
    <mergeCell ref="C2:D3"/>
    <mergeCell ref="E2:E3"/>
    <mergeCell ref="F2:H3"/>
    <mergeCell ref="A4:B5"/>
    <mergeCell ref="C4:D5"/>
    <mergeCell ref="E4:E5"/>
    <mergeCell ref="F4:H5"/>
  </mergeCells>
  <pageMargins left="0.39400000000000002" right="0.39400000000000002" top="0.59099999999999997" bottom="0.59099999999999997" header="0.5" footer="0.5"/>
  <pageSetup paperSize="9" scale="7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34"/>
  <sheetViews>
    <sheetView view="pageBreakPreview" zoomScaleNormal="100" zoomScaleSheetLayoutView="100" workbookViewId="0">
      <selection activeCell="C27" sqref="C27"/>
    </sheetView>
  </sheetViews>
  <sheetFormatPr defaultColWidth="9.109375" defaultRowHeight="13.2" x14ac:dyDescent="0.25"/>
  <cols>
    <col min="1" max="1" width="38.44140625" style="129" bestFit="1" customWidth="1"/>
    <col min="2" max="2" width="9.6640625" style="130" bestFit="1" customWidth="1"/>
    <col min="3" max="3" width="12.6640625" style="130" bestFit="1" customWidth="1"/>
    <col min="4" max="16384" width="9.109375" style="119"/>
  </cols>
  <sheetData>
    <row r="1" spans="1:3" ht="13.8" x14ac:dyDescent="0.3">
      <c r="A1" s="117" t="s">
        <v>1008</v>
      </c>
      <c r="B1" s="118" t="s">
        <v>1009</v>
      </c>
      <c r="C1" s="118" t="s">
        <v>1010</v>
      </c>
    </row>
    <row r="2" spans="1:3" ht="15" x14ac:dyDescent="0.35">
      <c r="A2" s="120" t="s">
        <v>1011</v>
      </c>
      <c r="B2" s="121"/>
      <c r="C2" s="121"/>
    </row>
    <row r="3" spans="1:3" ht="13.8" x14ac:dyDescent="0.3">
      <c r="A3" s="122" t="s">
        <v>650</v>
      </c>
      <c r="B3" s="123">
        <v>0</v>
      </c>
      <c r="C3" s="123"/>
    </row>
    <row r="4" spans="1:3" ht="13.8" x14ac:dyDescent="0.3">
      <c r="A4" s="122" t="s">
        <v>1012</v>
      </c>
      <c r="B4" s="123">
        <v>0</v>
      </c>
      <c r="C4" s="123">
        <v>0</v>
      </c>
    </row>
    <row r="5" spans="1:3" ht="13.8" x14ac:dyDescent="0.3">
      <c r="A5" s="122" t="s">
        <v>1013</v>
      </c>
      <c r="B5" s="123"/>
      <c r="C5" s="123">
        <f>'Rozpočet EI'!E61</f>
        <v>0</v>
      </c>
    </row>
    <row r="6" spans="1:3" ht="13.8" x14ac:dyDescent="0.3">
      <c r="A6" s="122" t="s">
        <v>1014</v>
      </c>
      <c r="B6" s="123"/>
      <c r="C6" s="123">
        <f>'Rozpočet EI'!H61</f>
        <v>0</v>
      </c>
    </row>
    <row r="7" spans="1:3" ht="13.8" x14ac:dyDescent="0.3">
      <c r="A7" s="124" t="s">
        <v>1015</v>
      </c>
      <c r="B7" s="125">
        <v>0</v>
      </c>
      <c r="C7" s="125">
        <f>SUM(C5:C6)</f>
        <v>0</v>
      </c>
    </row>
    <row r="8" spans="1:3" ht="13.8" x14ac:dyDescent="0.3">
      <c r="A8" s="122" t="s">
        <v>1016</v>
      </c>
      <c r="B8" s="123"/>
      <c r="C8" s="123">
        <f>C7*6%</f>
        <v>0</v>
      </c>
    </row>
    <row r="9" spans="1:3" ht="13.8" x14ac:dyDescent="0.3">
      <c r="A9" s="122" t="s">
        <v>530</v>
      </c>
      <c r="B9" s="123"/>
      <c r="C9" s="123">
        <v>0</v>
      </c>
    </row>
    <row r="10" spans="1:3" ht="13.8" x14ac:dyDescent="0.3">
      <c r="A10" s="122" t="s">
        <v>1017</v>
      </c>
      <c r="B10" s="123"/>
      <c r="C10" s="123">
        <f>'Rozpočet EI'!I78</f>
        <v>0</v>
      </c>
    </row>
    <row r="11" spans="1:3" ht="13.8" x14ac:dyDescent="0.3">
      <c r="A11" s="122" t="s">
        <v>1018</v>
      </c>
      <c r="B11" s="123"/>
      <c r="C11" s="123">
        <v>0</v>
      </c>
    </row>
    <row r="12" spans="1:3" ht="13.8" x14ac:dyDescent="0.3">
      <c r="A12" s="124" t="s">
        <v>1019</v>
      </c>
      <c r="B12" s="125">
        <v>0</v>
      </c>
      <c r="C12" s="125">
        <f>SUM(C7:C11)</f>
        <v>0</v>
      </c>
    </row>
    <row r="13" spans="1:3" ht="13.8" x14ac:dyDescent="0.3">
      <c r="A13" s="122" t="s">
        <v>1020</v>
      </c>
      <c r="B13" s="123"/>
      <c r="C13" s="131">
        <v>0</v>
      </c>
    </row>
    <row r="14" spans="1:3" ht="13.8" x14ac:dyDescent="0.3">
      <c r="A14" s="122" t="s">
        <v>1021</v>
      </c>
      <c r="B14" s="123"/>
      <c r="C14" s="131">
        <v>0</v>
      </c>
    </row>
    <row r="15" spans="1:3" ht="13.8" x14ac:dyDescent="0.3">
      <c r="A15" s="122" t="s">
        <v>1022</v>
      </c>
      <c r="B15" s="123"/>
      <c r="C15" s="131">
        <v>0</v>
      </c>
    </row>
    <row r="16" spans="1:3" ht="15" x14ac:dyDescent="0.35">
      <c r="A16" s="120" t="s">
        <v>1023</v>
      </c>
      <c r="B16" s="121"/>
      <c r="C16" s="121">
        <f>SUM(C12:C15)</f>
        <v>0</v>
      </c>
    </row>
    <row r="17" spans="1:3" ht="13.8" x14ac:dyDescent="0.3">
      <c r="A17" s="122" t="s">
        <v>1024</v>
      </c>
      <c r="B17" s="123"/>
      <c r="C17" s="123"/>
    </row>
    <row r="18" spans="1:3" ht="15" x14ac:dyDescent="0.35">
      <c r="A18" s="120" t="s">
        <v>1025</v>
      </c>
      <c r="B18" s="121"/>
      <c r="C18" s="121"/>
    </row>
    <row r="19" spans="1:3" ht="13.8" x14ac:dyDescent="0.3">
      <c r="A19" s="122" t="s">
        <v>1026</v>
      </c>
      <c r="B19" s="123"/>
      <c r="C19" s="123">
        <v>0</v>
      </c>
    </row>
    <row r="20" spans="1:3" ht="13.8" x14ac:dyDescent="0.3">
      <c r="A20" s="122" t="s">
        <v>1027</v>
      </c>
      <c r="B20" s="123"/>
      <c r="C20" s="123">
        <v>0</v>
      </c>
    </row>
    <row r="21" spans="1:3" ht="15" x14ac:dyDescent="0.35">
      <c r="A21" s="120" t="s">
        <v>1028</v>
      </c>
      <c r="B21" s="121"/>
      <c r="C21" s="121">
        <f>SUM(C19:C20)</f>
        <v>0</v>
      </c>
    </row>
    <row r="22" spans="1:3" ht="13.8" x14ac:dyDescent="0.3">
      <c r="A22" s="122" t="s">
        <v>1029</v>
      </c>
      <c r="B22" s="123"/>
      <c r="C22" s="131">
        <v>0</v>
      </c>
    </row>
    <row r="23" spans="1:3" ht="13.8" x14ac:dyDescent="0.3">
      <c r="A23" s="122" t="s">
        <v>1024</v>
      </c>
      <c r="B23" s="123"/>
      <c r="C23" s="123"/>
    </row>
    <row r="24" spans="1:3" ht="16.8" x14ac:dyDescent="0.4">
      <c r="A24" s="126" t="s">
        <v>1030</v>
      </c>
      <c r="B24" s="127"/>
      <c r="C24" s="127">
        <f>C16+C21+C22</f>
        <v>0</v>
      </c>
    </row>
    <row r="25" spans="1:3" ht="13.8" x14ac:dyDescent="0.3">
      <c r="A25" s="122" t="s">
        <v>1031</v>
      </c>
      <c r="B25" s="123">
        <f>C24</f>
        <v>0</v>
      </c>
      <c r="C25" s="123">
        <f>B25*21%</f>
        <v>0</v>
      </c>
    </row>
    <row r="26" spans="1:3" ht="13.8" x14ac:dyDescent="0.3">
      <c r="A26" s="122" t="s">
        <v>1032</v>
      </c>
      <c r="B26" s="123">
        <v>0</v>
      </c>
      <c r="C26" s="123">
        <v>0</v>
      </c>
    </row>
    <row r="27" spans="1:3" ht="16.8" x14ac:dyDescent="0.4">
      <c r="A27" s="126" t="s">
        <v>1033</v>
      </c>
      <c r="B27" s="127"/>
      <c r="C27" s="127">
        <f>SUM(C24:C26)</f>
        <v>0</v>
      </c>
    </row>
    <row r="28" spans="1:3" ht="13.8" x14ac:dyDescent="0.3">
      <c r="A28" s="122" t="s">
        <v>1024</v>
      </c>
      <c r="B28" s="123"/>
      <c r="C28" s="123"/>
    </row>
    <row r="29" spans="1:3" ht="13.8" x14ac:dyDescent="0.3">
      <c r="A29" s="122" t="s">
        <v>1034</v>
      </c>
      <c r="B29" s="123"/>
      <c r="C29" s="123">
        <v>0</v>
      </c>
    </row>
    <row r="30" spans="1:3" ht="13.8" x14ac:dyDescent="0.3">
      <c r="A30" s="122" t="s">
        <v>1034</v>
      </c>
      <c r="B30" s="123"/>
      <c r="C30" s="123">
        <v>0</v>
      </c>
    </row>
    <row r="31" spans="1:3" ht="15" x14ac:dyDescent="0.35">
      <c r="A31" s="120" t="s">
        <v>1035</v>
      </c>
      <c r="B31" s="128" t="s">
        <v>1036</v>
      </c>
      <c r="C31" s="128" t="s">
        <v>652</v>
      </c>
    </row>
    <row r="32" spans="1:3" ht="13.8" x14ac:dyDescent="0.3">
      <c r="A32" s="122" t="s">
        <v>1037</v>
      </c>
      <c r="B32" s="123">
        <f>'Rozpočet EI'!E61</f>
        <v>0</v>
      </c>
      <c r="C32" s="123">
        <f>'Rozpočet EI'!H61</f>
        <v>0</v>
      </c>
    </row>
    <row r="33" spans="1:3" ht="13.8" x14ac:dyDescent="0.3">
      <c r="A33" s="122" t="s">
        <v>1038</v>
      </c>
      <c r="B33" s="123">
        <f>'Rozpočet EI'!E12</f>
        <v>0</v>
      </c>
      <c r="C33" s="123">
        <f>'Rozpočet EI'!H12</f>
        <v>0</v>
      </c>
    </row>
    <row r="34" spans="1:3" ht="13.8" x14ac:dyDescent="0.3">
      <c r="A34" s="122" t="s">
        <v>1017</v>
      </c>
      <c r="B34" s="123">
        <f>'Rozpočet EI'!E78</f>
        <v>0</v>
      </c>
      <c r="C34" s="123">
        <v>0</v>
      </c>
    </row>
  </sheetData>
  <sheetProtection algorithmName="SHA-512" hashValue="HgQ1Tv5QUyJVvbwAbQPXrgWPzMI3NZpprLCUuKQyZZq3cSTACxsAyG90BJOVSZp6hVQnrlgOMYVO9ty0dSwLMA==" saltValue="qb/VXeooh+mkAEeAf9PHPg==" spinCount="100000" sheet="1" objects="1" scenarios="1"/>
  <protectedRanges>
    <protectedRange sqref="C13:C15 C22" name="Oblast1"/>
  </protectedRange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J79"/>
  <sheetViews>
    <sheetView view="pageBreakPreview" zoomScale="85" zoomScaleNormal="100" zoomScaleSheetLayoutView="85" workbookViewId="0">
      <selection activeCell="E33" sqref="E33"/>
    </sheetView>
  </sheetViews>
  <sheetFormatPr defaultColWidth="9.109375" defaultRowHeight="13.2" x14ac:dyDescent="0.25"/>
  <cols>
    <col min="1" max="1" width="92" style="272" bestFit="1" customWidth="1"/>
    <col min="2" max="2" width="3.44140625" style="272" bestFit="1" customWidth="1"/>
    <col min="3" max="3" width="5.6640625" style="271" bestFit="1" customWidth="1"/>
    <col min="4" max="4" width="7.88671875" style="130" bestFit="1" customWidth="1"/>
    <col min="5" max="5" width="13.109375" style="271" bestFit="1" customWidth="1"/>
    <col min="6" max="6" width="3.6640625" style="272" bestFit="1" customWidth="1"/>
    <col min="7" max="7" width="7.88671875" style="130" customWidth="1"/>
    <col min="8" max="9" width="12.6640625" style="271" bestFit="1" customWidth="1"/>
    <col min="10" max="10" width="10.109375" style="272" bestFit="1" customWidth="1"/>
    <col min="11" max="16384" width="9.109375" style="119"/>
  </cols>
  <sheetData>
    <row r="1" spans="1:10" ht="13.8" x14ac:dyDescent="0.3">
      <c r="A1" s="262" t="s">
        <v>1008</v>
      </c>
      <c r="B1" s="262" t="s">
        <v>1039</v>
      </c>
      <c r="C1" s="261" t="s">
        <v>1040</v>
      </c>
      <c r="D1" s="255" t="s">
        <v>1036</v>
      </c>
      <c r="E1" s="261" t="s">
        <v>1041</v>
      </c>
      <c r="F1" s="262" t="s">
        <v>1042</v>
      </c>
      <c r="G1" s="255" t="s">
        <v>652</v>
      </c>
      <c r="H1" s="261" t="s">
        <v>1043</v>
      </c>
      <c r="I1" s="261" t="s">
        <v>1044</v>
      </c>
      <c r="J1" s="262" t="s">
        <v>1045</v>
      </c>
    </row>
    <row r="2" spans="1:10" ht="16.8" x14ac:dyDescent="0.4">
      <c r="A2" s="264" t="s">
        <v>1037</v>
      </c>
      <c r="B2" s="264" t="s">
        <v>1024</v>
      </c>
      <c r="C2" s="263"/>
      <c r="D2" s="256"/>
      <c r="E2" s="263"/>
      <c r="F2" s="264" t="s">
        <v>1024</v>
      </c>
      <c r="G2" s="256"/>
      <c r="H2" s="263"/>
      <c r="I2" s="263"/>
      <c r="J2" s="264" t="s">
        <v>1024</v>
      </c>
    </row>
    <row r="3" spans="1:10" ht="15" x14ac:dyDescent="0.35">
      <c r="A3" s="266" t="s">
        <v>1046</v>
      </c>
      <c r="B3" s="266" t="s">
        <v>1024</v>
      </c>
      <c r="C3" s="265"/>
      <c r="D3" s="257"/>
      <c r="E3" s="265"/>
      <c r="F3" s="266" t="s">
        <v>1024</v>
      </c>
      <c r="G3" s="257"/>
      <c r="H3" s="265"/>
      <c r="I3" s="265"/>
      <c r="J3" s="266" t="s">
        <v>1024</v>
      </c>
    </row>
    <row r="4" spans="1:10" ht="13.8" x14ac:dyDescent="0.3">
      <c r="A4" s="268" t="s">
        <v>1047</v>
      </c>
      <c r="B4" s="268" t="s">
        <v>632</v>
      </c>
      <c r="C4" s="267">
        <v>1</v>
      </c>
      <c r="D4" s="259"/>
      <c r="E4" s="267">
        <f>C4*D4</f>
        <v>0</v>
      </c>
      <c r="F4" s="268" t="s">
        <v>1024</v>
      </c>
      <c r="G4" s="259"/>
      <c r="H4" s="267">
        <f>C4*G4</f>
        <v>0</v>
      </c>
      <c r="I4" s="267">
        <f>E4+H4</f>
        <v>0</v>
      </c>
      <c r="J4" s="268" t="s">
        <v>1024</v>
      </c>
    </row>
    <row r="5" spans="1:10" ht="13.8" x14ac:dyDescent="0.3">
      <c r="A5" s="268" t="s">
        <v>1048</v>
      </c>
      <c r="B5" s="268" t="s">
        <v>632</v>
      </c>
      <c r="C5" s="267">
        <v>5</v>
      </c>
      <c r="D5" s="259"/>
      <c r="E5" s="267">
        <f t="shared" ref="E5:E11" si="0">C5*D5</f>
        <v>0</v>
      </c>
      <c r="F5" s="268" t="s">
        <v>1024</v>
      </c>
      <c r="G5" s="259"/>
      <c r="H5" s="267">
        <f t="shared" ref="H5:H11" si="1">C5*G5</f>
        <v>0</v>
      </c>
      <c r="I5" s="267">
        <f t="shared" ref="I5:I11" si="2">E5+H5</f>
        <v>0</v>
      </c>
      <c r="J5" s="268" t="s">
        <v>1024</v>
      </c>
    </row>
    <row r="6" spans="1:10" ht="13.8" x14ac:dyDescent="0.3">
      <c r="A6" s="268" t="s">
        <v>1049</v>
      </c>
      <c r="B6" s="268" t="s">
        <v>632</v>
      </c>
      <c r="C6" s="267">
        <v>6</v>
      </c>
      <c r="D6" s="259"/>
      <c r="E6" s="267">
        <f t="shared" si="0"/>
        <v>0</v>
      </c>
      <c r="F6" s="268" t="s">
        <v>1024</v>
      </c>
      <c r="G6" s="259"/>
      <c r="H6" s="267">
        <f t="shared" si="1"/>
        <v>0</v>
      </c>
      <c r="I6" s="267">
        <f t="shared" si="2"/>
        <v>0</v>
      </c>
      <c r="J6" s="268" t="s">
        <v>1024</v>
      </c>
    </row>
    <row r="7" spans="1:10" ht="13.8" x14ac:dyDescent="0.3">
      <c r="A7" s="268" t="s">
        <v>1050</v>
      </c>
      <c r="B7" s="268" t="s">
        <v>632</v>
      </c>
      <c r="C7" s="267">
        <v>3</v>
      </c>
      <c r="D7" s="259"/>
      <c r="E7" s="267">
        <f t="shared" si="0"/>
        <v>0</v>
      </c>
      <c r="F7" s="268" t="s">
        <v>1024</v>
      </c>
      <c r="G7" s="259"/>
      <c r="H7" s="267">
        <f t="shared" si="1"/>
        <v>0</v>
      </c>
      <c r="I7" s="267">
        <f t="shared" si="2"/>
        <v>0</v>
      </c>
      <c r="J7" s="268" t="s">
        <v>1024</v>
      </c>
    </row>
    <row r="8" spans="1:10" ht="13.8" x14ac:dyDescent="0.3">
      <c r="A8" s="268" t="s">
        <v>1051</v>
      </c>
      <c r="B8" s="268" t="s">
        <v>632</v>
      </c>
      <c r="C8" s="267">
        <v>2</v>
      </c>
      <c r="D8" s="259"/>
      <c r="E8" s="267">
        <f t="shared" si="0"/>
        <v>0</v>
      </c>
      <c r="F8" s="268" t="s">
        <v>1024</v>
      </c>
      <c r="G8" s="259"/>
      <c r="H8" s="267">
        <f t="shared" si="1"/>
        <v>0</v>
      </c>
      <c r="I8" s="267">
        <f t="shared" si="2"/>
        <v>0</v>
      </c>
      <c r="J8" s="268" t="s">
        <v>1024</v>
      </c>
    </row>
    <row r="9" spans="1:10" ht="13.8" x14ac:dyDescent="0.3">
      <c r="A9" s="268" t="s">
        <v>1052</v>
      </c>
      <c r="B9" s="268" t="s">
        <v>632</v>
      </c>
      <c r="C9" s="267">
        <v>2</v>
      </c>
      <c r="D9" s="259"/>
      <c r="E9" s="267">
        <f t="shared" si="0"/>
        <v>0</v>
      </c>
      <c r="F9" s="268" t="s">
        <v>1024</v>
      </c>
      <c r="G9" s="259"/>
      <c r="H9" s="267">
        <f t="shared" si="1"/>
        <v>0</v>
      </c>
      <c r="I9" s="267">
        <f t="shared" si="2"/>
        <v>0</v>
      </c>
      <c r="J9" s="268" t="s">
        <v>1024</v>
      </c>
    </row>
    <row r="10" spans="1:10" ht="13.8" x14ac:dyDescent="0.3">
      <c r="A10" s="268" t="s">
        <v>1053</v>
      </c>
      <c r="B10" s="268" t="s">
        <v>632</v>
      </c>
      <c r="C10" s="267">
        <v>4</v>
      </c>
      <c r="D10" s="259"/>
      <c r="E10" s="267">
        <f t="shared" si="0"/>
        <v>0</v>
      </c>
      <c r="F10" s="268" t="s">
        <v>1024</v>
      </c>
      <c r="G10" s="259"/>
      <c r="H10" s="267">
        <f t="shared" si="1"/>
        <v>0</v>
      </c>
      <c r="I10" s="267">
        <f t="shared" si="2"/>
        <v>0</v>
      </c>
      <c r="J10" s="268" t="s">
        <v>1024</v>
      </c>
    </row>
    <row r="11" spans="1:10" ht="13.8" x14ac:dyDescent="0.3">
      <c r="A11" s="268" t="s">
        <v>1054</v>
      </c>
      <c r="B11" s="268" t="s">
        <v>632</v>
      </c>
      <c r="C11" s="267">
        <v>1</v>
      </c>
      <c r="D11" s="259"/>
      <c r="E11" s="267">
        <f t="shared" si="0"/>
        <v>0</v>
      </c>
      <c r="F11" s="268" t="s">
        <v>1024</v>
      </c>
      <c r="G11" s="259"/>
      <c r="H11" s="267">
        <f t="shared" si="1"/>
        <v>0</v>
      </c>
      <c r="I11" s="267">
        <f t="shared" si="2"/>
        <v>0</v>
      </c>
      <c r="J11" s="268" t="s">
        <v>1024</v>
      </c>
    </row>
    <row r="12" spans="1:10" ht="15" x14ac:dyDescent="0.35">
      <c r="A12" s="266" t="s">
        <v>1055</v>
      </c>
      <c r="B12" s="266" t="s">
        <v>1024</v>
      </c>
      <c r="C12" s="265"/>
      <c r="D12" s="257"/>
      <c r="E12" s="265">
        <f>SUM(E4:E11)</f>
        <v>0</v>
      </c>
      <c r="F12" s="266" t="s">
        <v>1024</v>
      </c>
      <c r="G12" s="257"/>
      <c r="H12" s="265">
        <f>SUM(H4:H11)</f>
        <v>0</v>
      </c>
      <c r="I12" s="265">
        <f>SUM(I4:I11)</f>
        <v>0</v>
      </c>
      <c r="J12" s="266" t="s">
        <v>1024</v>
      </c>
    </row>
    <row r="13" spans="1:10" ht="15" x14ac:dyDescent="0.35">
      <c r="A13" s="270" t="s">
        <v>1056</v>
      </c>
      <c r="B13" s="270" t="s">
        <v>1024</v>
      </c>
      <c r="C13" s="269"/>
      <c r="D13" s="260"/>
      <c r="E13" s="269"/>
      <c r="F13" s="270" t="s">
        <v>1024</v>
      </c>
      <c r="G13" s="260"/>
      <c r="H13" s="269"/>
      <c r="I13" s="269"/>
      <c r="J13" s="270" t="s">
        <v>1024</v>
      </c>
    </row>
    <row r="14" spans="1:10" ht="13.8" x14ac:dyDescent="0.3">
      <c r="A14" s="268" t="s">
        <v>1057</v>
      </c>
      <c r="B14" s="268" t="s">
        <v>632</v>
      </c>
      <c r="C14" s="267">
        <v>10</v>
      </c>
      <c r="D14" s="259"/>
      <c r="E14" s="267">
        <f t="shared" ref="E14:E16" si="3">C14*D14</f>
        <v>0</v>
      </c>
      <c r="F14" s="268" t="s">
        <v>1024</v>
      </c>
      <c r="G14" s="259"/>
      <c r="H14" s="267">
        <f t="shared" ref="H14:H16" si="4">C14*G14</f>
        <v>0</v>
      </c>
      <c r="I14" s="267">
        <f t="shared" ref="I14:I16" si="5">E14+H14</f>
        <v>0</v>
      </c>
      <c r="J14" s="268" t="s">
        <v>1024</v>
      </c>
    </row>
    <row r="15" spans="1:10" ht="13.8" x14ac:dyDescent="0.3">
      <c r="A15" s="268" t="s">
        <v>1058</v>
      </c>
      <c r="B15" s="268" t="s">
        <v>632</v>
      </c>
      <c r="C15" s="267">
        <v>8</v>
      </c>
      <c r="D15" s="259"/>
      <c r="E15" s="267">
        <f t="shared" si="3"/>
        <v>0</v>
      </c>
      <c r="F15" s="268" t="s">
        <v>1024</v>
      </c>
      <c r="G15" s="259"/>
      <c r="H15" s="267">
        <f t="shared" si="4"/>
        <v>0</v>
      </c>
      <c r="I15" s="267">
        <f t="shared" si="5"/>
        <v>0</v>
      </c>
      <c r="J15" s="268" t="s">
        <v>1024</v>
      </c>
    </row>
    <row r="16" spans="1:10" ht="13.8" x14ac:dyDescent="0.3">
      <c r="A16" s="268" t="s">
        <v>1059</v>
      </c>
      <c r="B16" s="268" t="s">
        <v>632</v>
      </c>
      <c r="C16" s="267">
        <v>1</v>
      </c>
      <c r="D16" s="259"/>
      <c r="E16" s="267">
        <f t="shared" si="3"/>
        <v>0</v>
      </c>
      <c r="F16" s="268" t="s">
        <v>1024</v>
      </c>
      <c r="G16" s="259"/>
      <c r="H16" s="267">
        <f t="shared" si="4"/>
        <v>0</v>
      </c>
      <c r="I16" s="267">
        <f t="shared" si="5"/>
        <v>0</v>
      </c>
      <c r="J16" s="268" t="s">
        <v>1024</v>
      </c>
    </row>
    <row r="17" spans="1:10" ht="15" x14ac:dyDescent="0.35">
      <c r="A17" s="270" t="s">
        <v>1060</v>
      </c>
      <c r="B17" s="270" t="s">
        <v>1024</v>
      </c>
      <c r="C17" s="269"/>
      <c r="D17" s="260"/>
      <c r="E17" s="269"/>
      <c r="F17" s="270" t="s">
        <v>1024</v>
      </c>
      <c r="G17" s="260"/>
      <c r="H17" s="269"/>
      <c r="I17" s="269"/>
      <c r="J17" s="270" t="s">
        <v>1024</v>
      </c>
    </row>
    <row r="18" spans="1:10" ht="13.8" x14ac:dyDescent="0.3">
      <c r="A18" s="268" t="s">
        <v>1061</v>
      </c>
      <c r="B18" s="268" t="s">
        <v>629</v>
      </c>
      <c r="C18" s="267">
        <v>580</v>
      </c>
      <c r="D18" s="259"/>
      <c r="E18" s="267">
        <f t="shared" ref="E18:E21" si="6">C18*D18</f>
        <v>0</v>
      </c>
      <c r="F18" s="268" t="s">
        <v>1024</v>
      </c>
      <c r="G18" s="259"/>
      <c r="H18" s="267">
        <f t="shared" ref="H18:H21" si="7">C18*G18</f>
        <v>0</v>
      </c>
      <c r="I18" s="267">
        <f t="shared" ref="I18:I21" si="8">E18+H18</f>
        <v>0</v>
      </c>
      <c r="J18" s="268" t="s">
        <v>1024</v>
      </c>
    </row>
    <row r="19" spans="1:10" ht="13.8" x14ac:dyDescent="0.3">
      <c r="A19" s="268" t="s">
        <v>1062</v>
      </c>
      <c r="B19" s="268" t="s">
        <v>629</v>
      </c>
      <c r="C19" s="267">
        <v>400</v>
      </c>
      <c r="D19" s="259"/>
      <c r="E19" s="267">
        <f t="shared" si="6"/>
        <v>0</v>
      </c>
      <c r="F19" s="268" t="s">
        <v>1024</v>
      </c>
      <c r="G19" s="259"/>
      <c r="H19" s="267">
        <f t="shared" si="7"/>
        <v>0</v>
      </c>
      <c r="I19" s="267">
        <f t="shared" si="8"/>
        <v>0</v>
      </c>
      <c r="J19" s="268" t="s">
        <v>1024</v>
      </c>
    </row>
    <row r="20" spans="1:10" ht="13.8" x14ac:dyDescent="0.3">
      <c r="A20" s="268" t="s">
        <v>1063</v>
      </c>
      <c r="B20" s="268" t="s">
        <v>629</v>
      </c>
      <c r="C20" s="267">
        <v>90</v>
      </c>
      <c r="D20" s="259"/>
      <c r="E20" s="267">
        <f t="shared" si="6"/>
        <v>0</v>
      </c>
      <c r="F20" s="268" t="s">
        <v>1024</v>
      </c>
      <c r="G20" s="259"/>
      <c r="H20" s="267">
        <f t="shared" si="7"/>
        <v>0</v>
      </c>
      <c r="I20" s="267">
        <f t="shared" si="8"/>
        <v>0</v>
      </c>
      <c r="J20" s="268" t="s">
        <v>1024</v>
      </c>
    </row>
    <row r="21" spans="1:10" ht="13.8" x14ac:dyDescent="0.3">
      <c r="A21" s="268" t="s">
        <v>1064</v>
      </c>
      <c r="B21" s="268" t="s">
        <v>629</v>
      </c>
      <c r="C21" s="267">
        <v>600</v>
      </c>
      <c r="D21" s="259"/>
      <c r="E21" s="267">
        <f t="shared" si="6"/>
        <v>0</v>
      </c>
      <c r="F21" s="268" t="s">
        <v>1024</v>
      </c>
      <c r="G21" s="259"/>
      <c r="H21" s="267">
        <f t="shared" si="7"/>
        <v>0</v>
      </c>
      <c r="I21" s="267">
        <f t="shared" si="8"/>
        <v>0</v>
      </c>
      <c r="J21" s="268" t="s">
        <v>1024</v>
      </c>
    </row>
    <row r="22" spans="1:10" ht="15" x14ac:dyDescent="0.35">
      <c r="A22" s="270" t="s">
        <v>1065</v>
      </c>
      <c r="B22" s="270" t="s">
        <v>1024</v>
      </c>
      <c r="C22" s="269"/>
      <c r="D22" s="260"/>
      <c r="E22" s="269"/>
      <c r="F22" s="270" t="s">
        <v>1024</v>
      </c>
      <c r="G22" s="260"/>
      <c r="H22" s="269"/>
      <c r="I22" s="269"/>
      <c r="J22" s="270" t="s">
        <v>1024</v>
      </c>
    </row>
    <row r="23" spans="1:10" ht="13.8" x14ac:dyDescent="0.3">
      <c r="A23" s="268" t="s">
        <v>1066</v>
      </c>
      <c r="B23" s="268" t="s">
        <v>629</v>
      </c>
      <c r="C23" s="267">
        <v>150</v>
      </c>
      <c r="D23" s="259"/>
      <c r="E23" s="267">
        <f t="shared" ref="E23" si="9">C23*D23</f>
        <v>0</v>
      </c>
      <c r="F23" s="268" t="s">
        <v>1024</v>
      </c>
      <c r="G23" s="259"/>
      <c r="H23" s="267">
        <f t="shared" ref="H23" si="10">C23*G23</f>
        <v>0</v>
      </c>
      <c r="I23" s="267">
        <f>E23+H23</f>
        <v>0</v>
      </c>
      <c r="J23" s="268" t="s">
        <v>1024</v>
      </c>
    </row>
    <row r="24" spans="1:10" ht="15" x14ac:dyDescent="0.35">
      <c r="A24" s="270" t="s">
        <v>1067</v>
      </c>
      <c r="B24" s="270" t="s">
        <v>1024</v>
      </c>
      <c r="C24" s="269"/>
      <c r="D24" s="260"/>
      <c r="E24" s="269"/>
      <c r="F24" s="270" t="s">
        <v>1024</v>
      </c>
      <c r="G24" s="260"/>
      <c r="H24" s="269"/>
      <c r="I24" s="269"/>
      <c r="J24" s="270" t="s">
        <v>1024</v>
      </c>
    </row>
    <row r="25" spans="1:10" ht="13.8" x14ac:dyDescent="0.3">
      <c r="A25" s="268" t="s">
        <v>1068</v>
      </c>
      <c r="B25" s="268" t="s">
        <v>632</v>
      </c>
      <c r="C25" s="267">
        <v>100</v>
      </c>
      <c r="D25" s="259"/>
      <c r="E25" s="267">
        <f t="shared" ref="E25" si="11">C25*D25</f>
        <v>0</v>
      </c>
      <c r="F25" s="268" t="s">
        <v>1024</v>
      </c>
      <c r="G25" s="259"/>
      <c r="H25" s="267">
        <f t="shared" ref="H25" si="12">C25*G25</f>
        <v>0</v>
      </c>
      <c r="I25" s="267">
        <f>E25+H25</f>
        <v>0</v>
      </c>
      <c r="J25" s="268" t="s">
        <v>1024</v>
      </c>
    </row>
    <row r="26" spans="1:10" ht="15" x14ac:dyDescent="0.35">
      <c r="A26" s="270" t="s">
        <v>1069</v>
      </c>
      <c r="B26" s="270" t="s">
        <v>1024</v>
      </c>
      <c r="C26" s="269"/>
      <c r="D26" s="260"/>
      <c r="E26" s="269"/>
      <c r="F26" s="270" t="s">
        <v>1024</v>
      </c>
      <c r="G26" s="260"/>
      <c r="H26" s="269"/>
      <c r="I26" s="269"/>
      <c r="J26" s="270" t="s">
        <v>1024</v>
      </c>
    </row>
    <row r="27" spans="1:10" ht="13.8" x14ac:dyDescent="0.3">
      <c r="A27" s="268" t="s">
        <v>1070</v>
      </c>
      <c r="B27" s="268" t="s">
        <v>632</v>
      </c>
      <c r="C27" s="267">
        <v>6</v>
      </c>
      <c r="D27" s="259"/>
      <c r="E27" s="267">
        <f t="shared" ref="E27" si="13">C27*D27</f>
        <v>0</v>
      </c>
      <c r="F27" s="268" t="s">
        <v>1024</v>
      </c>
      <c r="G27" s="259"/>
      <c r="H27" s="267">
        <f t="shared" ref="H27" si="14">C27*G27</f>
        <v>0</v>
      </c>
      <c r="I27" s="267">
        <f>E27+H27</f>
        <v>0</v>
      </c>
      <c r="J27" s="268" t="s">
        <v>1024</v>
      </c>
    </row>
    <row r="28" spans="1:10" ht="15" x14ac:dyDescent="0.35">
      <c r="A28" s="270" t="s">
        <v>1071</v>
      </c>
      <c r="B28" s="270" t="s">
        <v>1024</v>
      </c>
      <c r="C28" s="269"/>
      <c r="D28" s="260"/>
      <c r="E28" s="269"/>
      <c r="F28" s="270" t="s">
        <v>1024</v>
      </c>
      <c r="G28" s="260"/>
      <c r="H28" s="269"/>
      <c r="I28" s="269"/>
      <c r="J28" s="270" t="s">
        <v>1024</v>
      </c>
    </row>
    <row r="29" spans="1:10" ht="13.8" x14ac:dyDescent="0.3">
      <c r="A29" s="268" t="s">
        <v>1072</v>
      </c>
      <c r="B29" s="268" t="s">
        <v>632</v>
      </c>
      <c r="C29" s="267">
        <v>6</v>
      </c>
      <c r="D29" s="259"/>
      <c r="E29" s="267">
        <f t="shared" ref="E29" si="15">C29*D29</f>
        <v>0</v>
      </c>
      <c r="F29" s="268" t="s">
        <v>1024</v>
      </c>
      <c r="G29" s="259"/>
      <c r="H29" s="267">
        <f t="shared" ref="H29" si="16">C29*G29</f>
        <v>0</v>
      </c>
      <c r="I29" s="267">
        <f>E29+H29</f>
        <v>0</v>
      </c>
      <c r="J29" s="268" t="s">
        <v>1024</v>
      </c>
    </row>
    <row r="30" spans="1:10" ht="15" x14ac:dyDescent="0.35">
      <c r="A30" s="270" t="s">
        <v>1073</v>
      </c>
      <c r="B30" s="270" t="s">
        <v>1024</v>
      </c>
      <c r="C30" s="269"/>
      <c r="D30" s="260"/>
      <c r="E30" s="269"/>
      <c r="F30" s="270" t="s">
        <v>1024</v>
      </c>
      <c r="G30" s="260"/>
      <c r="H30" s="269"/>
      <c r="I30" s="269"/>
      <c r="J30" s="270" t="s">
        <v>1024</v>
      </c>
    </row>
    <row r="31" spans="1:10" ht="13.8" x14ac:dyDescent="0.3">
      <c r="A31" s="268" t="s">
        <v>1074</v>
      </c>
      <c r="B31" s="268" t="s">
        <v>632</v>
      </c>
      <c r="C31" s="267">
        <v>26</v>
      </c>
      <c r="D31" s="259"/>
      <c r="E31" s="267">
        <f t="shared" ref="E31:E32" si="17">C31*D31</f>
        <v>0</v>
      </c>
      <c r="F31" s="268" t="s">
        <v>1024</v>
      </c>
      <c r="G31" s="259"/>
      <c r="H31" s="267">
        <f t="shared" ref="H31:H32" si="18">C31*G31</f>
        <v>0</v>
      </c>
      <c r="I31" s="267">
        <f t="shared" ref="I31:I32" si="19">E31+H31</f>
        <v>0</v>
      </c>
      <c r="J31" s="268" t="s">
        <v>1024</v>
      </c>
    </row>
    <row r="32" spans="1:10" ht="13.8" x14ac:dyDescent="0.3">
      <c r="A32" s="268" t="s">
        <v>1075</v>
      </c>
      <c r="B32" s="268" t="s">
        <v>632</v>
      </c>
      <c r="C32" s="267">
        <v>4</v>
      </c>
      <c r="D32" s="259"/>
      <c r="E32" s="267">
        <f t="shared" si="17"/>
        <v>0</v>
      </c>
      <c r="F32" s="268" t="s">
        <v>1024</v>
      </c>
      <c r="G32" s="259"/>
      <c r="H32" s="267">
        <f t="shared" si="18"/>
        <v>0</v>
      </c>
      <c r="I32" s="267">
        <f t="shared" si="19"/>
        <v>0</v>
      </c>
      <c r="J32" s="268" t="s">
        <v>1024</v>
      </c>
    </row>
    <row r="33" spans="1:10" ht="15" x14ac:dyDescent="0.35">
      <c r="A33" s="270" t="s">
        <v>1076</v>
      </c>
      <c r="B33" s="270" t="s">
        <v>1024</v>
      </c>
      <c r="C33" s="269"/>
      <c r="D33" s="260"/>
      <c r="E33" s="269"/>
      <c r="F33" s="270" t="s">
        <v>1024</v>
      </c>
      <c r="G33" s="260"/>
      <c r="H33" s="269"/>
      <c r="I33" s="269"/>
      <c r="J33" s="270" t="s">
        <v>1024</v>
      </c>
    </row>
    <row r="34" spans="1:10" ht="13.8" x14ac:dyDescent="0.3">
      <c r="A34" s="268" t="s">
        <v>1077</v>
      </c>
      <c r="B34" s="268" t="s">
        <v>632</v>
      </c>
      <c r="C34" s="267">
        <v>20</v>
      </c>
      <c r="D34" s="259"/>
      <c r="E34" s="267">
        <f t="shared" ref="E34:E35" si="20">C34*D34</f>
        <v>0</v>
      </c>
      <c r="F34" s="268" t="s">
        <v>1024</v>
      </c>
      <c r="G34" s="259"/>
      <c r="H34" s="267">
        <f t="shared" ref="H34:H35" si="21">C34*G34</f>
        <v>0</v>
      </c>
      <c r="I34" s="267">
        <f t="shared" ref="I34:I35" si="22">E34+H34</f>
        <v>0</v>
      </c>
      <c r="J34" s="268" t="s">
        <v>1024</v>
      </c>
    </row>
    <row r="35" spans="1:10" ht="13.8" x14ac:dyDescent="0.3">
      <c r="A35" s="268" t="s">
        <v>1078</v>
      </c>
      <c r="B35" s="268" t="s">
        <v>632</v>
      </c>
      <c r="C35" s="267">
        <v>8</v>
      </c>
      <c r="D35" s="259"/>
      <c r="E35" s="267">
        <f t="shared" si="20"/>
        <v>0</v>
      </c>
      <c r="F35" s="268" t="s">
        <v>1024</v>
      </c>
      <c r="G35" s="259"/>
      <c r="H35" s="267">
        <f t="shared" si="21"/>
        <v>0</v>
      </c>
      <c r="I35" s="267">
        <f t="shared" si="22"/>
        <v>0</v>
      </c>
      <c r="J35" s="268" t="s">
        <v>1024</v>
      </c>
    </row>
    <row r="36" spans="1:10" ht="15" x14ac:dyDescent="0.35">
      <c r="A36" s="270" t="s">
        <v>1079</v>
      </c>
      <c r="B36" s="270" t="s">
        <v>1024</v>
      </c>
      <c r="C36" s="269"/>
      <c r="D36" s="260"/>
      <c r="E36" s="269"/>
      <c r="F36" s="270" t="s">
        <v>1024</v>
      </c>
      <c r="G36" s="260"/>
      <c r="H36" s="269"/>
      <c r="I36" s="269"/>
      <c r="J36" s="270" t="s">
        <v>1024</v>
      </c>
    </row>
    <row r="37" spans="1:10" ht="13.8" x14ac:dyDescent="0.3">
      <c r="A37" s="268" t="s">
        <v>1080</v>
      </c>
      <c r="B37" s="268" t="s">
        <v>632</v>
      </c>
      <c r="C37" s="267">
        <v>3</v>
      </c>
      <c r="D37" s="259"/>
      <c r="E37" s="267">
        <f t="shared" ref="E37:E38" si="23">C37*D37</f>
        <v>0</v>
      </c>
      <c r="F37" s="268" t="s">
        <v>1024</v>
      </c>
      <c r="G37" s="259"/>
      <c r="H37" s="267">
        <f t="shared" ref="H37:H38" si="24">C37*G37</f>
        <v>0</v>
      </c>
      <c r="I37" s="267">
        <f t="shared" ref="I37:I38" si="25">E37+H37</f>
        <v>0</v>
      </c>
      <c r="J37" s="268" t="s">
        <v>1024</v>
      </c>
    </row>
    <row r="38" spans="1:10" ht="13.8" x14ac:dyDescent="0.3">
      <c r="A38" s="268" t="s">
        <v>1081</v>
      </c>
      <c r="B38" s="268" t="s">
        <v>632</v>
      </c>
      <c r="C38" s="267">
        <v>4</v>
      </c>
      <c r="D38" s="259"/>
      <c r="E38" s="267">
        <f t="shared" si="23"/>
        <v>0</v>
      </c>
      <c r="F38" s="268" t="s">
        <v>1024</v>
      </c>
      <c r="G38" s="259"/>
      <c r="H38" s="267">
        <f t="shared" si="24"/>
        <v>0</v>
      </c>
      <c r="I38" s="267">
        <f t="shared" si="25"/>
        <v>0</v>
      </c>
      <c r="J38" s="268" t="s">
        <v>1024</v>
      </c>
    </row>
    <row r="39" spans="1:10" ht="15" x14ac:dyDescent="0.35">
      <c r="A39" s="270" t="s">
        <v>1082</v>
      </c>
      <c r="B39" s="270" t="s">
        <v>1024</v>
      </c>
      <c r="C39" s="269"/>
      <c r="D39" s="260"/>
      <c r="E39" s="269"/>
      <c r="F39" s="270" t="s">
        <v>1024</v>
      </c>
      <c r="G39" s="260"/>
      <c r="H39" s="269"/>
      <c r="I39" s="269"/>
      <c r="J39" s="270" t="s">
        <v>1024</v>
      </c>
    </row>
    <row r="40" spans="1:10" ht="15" x14ac:dyDescent="0.35">
      <c r="A40" s="270" t="s">
        <v>1083</v>
      </c>
      <c r="B40" s="270" t="s">
        <v>1024</v>
      </c>
      <c r="C40" s="269"/>
      <c r="D40" s="260"/>
      <c r="E40" s="269"/>
      <c r="F40" s="270" t="s">
        <v>1024</v>
      </c>
      <c r="G40" s="260"/>
      <c r="H40" s="269"/>
      <c r="I40" s="269"/>
      <c r="J40" s="270" t="s">
        <v>1024</v>
      </c>
    </row>
    <row r="41" spans="1:10" ht="13.8" x14ac:dyDescent="0.3">
      <c r="A41" s="268" t="s">
        <v>1084</v>
      </c>
      <c r="B41" s="268" t="s">
        <v>632</v>
      </c>
      <c r="C41" s="267">
        <v>4</v>
      </c>
      <c r="D41" s="259"/>
      <c r="E41" s="267">
        <f t="shared" ref="E41" si="26">C41*D41</f>
        <v>0</v>
      </c>
      <c r="F41" s="268" t="s">
        <v>1024</v>
      </c>
      <c r="G41" s="259"/>
      <c r="H41" s="267">
        <f t="shared" ref="H41" si="27">C41*G41</f>
        <v>0</v>
      </c>
      <c r="I41" s="267">
        <f>E41+H41</f>
        <v>0</v>
      </c>
      <c r="J41" s="268" t="s">
        <v>1024</v>
      </c>
    </row>
    <row r="42" spans="1:10" ht="15" x14ac:dyDescent="0.35">
      <c r="A42" s="270" t="s">
        <v>1085</v>
      </c>
      <c r="B42" s="270" t="s">
        <v>1024</v>
      </c>
      <c r="C42" s="269"/>
      <c r="D42" s="260"/>
      <c r="E42" s="269"/>
      <c r="F42" s="270" t="s">
        <v>1024</v>
      </c>
      <c r="G42" s="260"/>
      <c r="H42" s="269"/>
      <c r="I42" s="269"/>
      <c r="J42" s="270" t="s">
        <v>1024</v>
      </c>
    </row>
    <row r="43" spans="1:10" ht="13.8" x14ac:dyDescent="0.3">
      <c r="A43" s="268" t="s">
        <v>1086</v>
      </c>
      <c r="B43" s="268" t="s">
        <v>629</v>
      </c>
      <c r="C43" s="267">
        <v>300</v>
      </c>
      <c r="D43" s="259"/>
      <c r="E43" s="267">
        <f t="shared" ref="E43" si="28">C43*D43</f>
        <v>0</v>
      </c>
      <c r="F43" s="268" t="s">
        <v>1024</v>
      </c>
      <c r="G43" s="259"/>
      <c r="H43" s="267">
        <f t="shared" ref="H43" si="29">C43*G43</f>
        <v>0</v>
      </c>
      <c r="I43" s="267">
        <f>E43+H43</f>
        <v>0</v>
      </c>
      <c r="J43" s="268" t="s">
        <v>1024</v>
      </c>
    </row>
    <row r="44" spans="1:10" ht="15" x14ac:dyDescent="0.35">
      <c r="A44" s="270" t="s">
        <v>1087</v>
      </c>
      <c r="B44" s="270" t="s">
        <v>1024</v>
      </c>
      <c r="C44" s="269"/>
      <c r="D44" s="260"/>
      <c r="E44" s="269"/>
      <c r="F44" s="270" t="s">
        <v>1024</v>
      </c>
      <c r="G44" s="260"/>
      <c r="H44" s="269"/>
      <c r="I44" s="269"/>
      <c r="J44" s="270" t="s">
        <v>1024</v>
      </c>
    </row>
    <row r="45" spans="1:10" ht="13.8" x14ac:dyDescent="0.3">
      <c r="A45" s="268" t="s">
        <v>1088</v>
      </c>
      <c r="B45" s="268" t="s">
        <v>632</v>
      </c>
      <c r="C45" s="267">
        <v>1</v>
      </c>
      <c r="D45" s="259"/>
      <c r="E45" s="267">
        <f t="shared" ref="E45" si="30">C45*D45</f>
        <v>0</v>
      </c>
      <c r="F45" s="268" t="s">
        <v>1024</v>
      </c>
      <c r="G45" s="259"/>
      <c r="H45" s="267">
        <f t="shared" ref="H45" si="31">C45*G45</f>
        <v>0</v>
      </c>
      <c r="I45" s="267">
        <f>E45+H45</f>
        <v>0</v>
      </c>
      <c r="J45" s="268" t="s">
        <v>1024</v>
      </c>
    </row>
    <row r="46" spans="1:10" ht="15" x14ac:dyDescent="0.35">
      <c r="A46" s="270" t="s">
        <v>1089</v>
      </c>
      <c r="B46" s="270" t="s">
        <v>1024</v>
      </c>
      <c r="C46" s="269"/>
      <c r="D46" s="260"/>
      <c r="E46" s="269"/>
      <c r="F46" s="270" t="s">
        <v>1024</v>
      </c>
      <c r="G46" s="260"/>
      <c r="H46" s="269"/>
      <c r="I46" s="269"/>
      <c r="J46" s="270" t="s">
        <v>1024</v>
      </c>
    </row>
    <row r="47" spans="1:10" ht="13.8" x14ac:dyDescent="0.3">
      <c r="A47" s="268" t="s">
        <v>1090</v>
      </c>
      <c r="B47" s="268" t="s">
        <v>629</v>
      </c>
      <c r="C47" s="267">
        <v>300</v>
      </c>
      <c r="D47" s="259"/>
      <c r="E47" s="267">
        <f t="shared" ref="E47" si="32">C47*D47</f>
        <v>0</v>
      </c>
      <c r="F47" s="268" t="s">
        <v>1024</v>
      </c>
      <c r="G47" s="259"/>
      <c r="H47" s="267">
        <f t="shared" ref="H47" si="33">C47*G47</f>
        <v>0</v>
      </c>
      <c r="I47" s="267">
        <f>E47+H47</f>
        <v>0</v>
      </c>
      <c r="J47" s="268" t="s">
        <v>1024</v>
      </c>
    </row>
    <row r="48" spans="1:10" ht="15" x14ac:dyDescent="0.35">
      <c r="A48" s="270" t="s">
        <v>1091</v>
      </c>
      <c r="B48" s="270" t="s">
        <v>1024</v>
      </c>
      <c r="C48" s="269"/>
      <c r="D48" s="260"/>
      <c r="E48" s="269"/>
      <c r="F48" s="270" t="s">
        <v>1024</v>
      </c>
      <c r="G48" s="260"/>
      <c r="H48" s="269"/>
      <c r="I48" s="269"/>
      <c r="J48" s="270" t="s">
        <v>1024</v>
      </c>
    </row>
    <row r="49" spans="1:10" ht="13.8" x14ac:dyDescent="0.3">
      <c r="A49" s="268" t="s">
        <v>1092</v>
      </c>
      <c r="B49" s="268" t="s">
        <v>632</v>
      </c>
      <c r="C49" s="267">
        <v>50</v>
      </c>
      <c r="D49" s="259"/>
      <c r="E49" s="267">
        <f t="shared" ref="E49" si="34">C49*D49</f>
        <v>0</v>
      </c>
      <c r="F49" s="268" t="s">
        <v>1024</v>
      </c>
      <c r="G49" s="259"/>
      <c r="H49" s="267">
        <f t="shared" ref="H49" si="35">C49*G49</f>
        <v>0</v>
      </c>
      <c r="I49" s="267">
        <f>E49+H49</f>
        <v>0</v>
      </c>
      <c r="J49" s="268" t="s">
        <v>1024</v>
      </c>
    </row>
    <row r="50" spans="1:10" ht="15" x14ac:dyDescent="0.35">
      <c r="A50" s="270" t="s">
        <v>1093</v>
      </c>
      <c r="B50" s="270" t="s">
        <v>1024</v>
      </c>
      <c r="C50" s="269"/>
      <c r="D50" s="260"/>
      <c r="E50" s="269"/>
      <c r="F50" s="270" t="s">
        <v>1024</v>
      </c>
      <c r="G50" s="260"/>
      <c r="H50" s="269"/>
      <c r="I50" s="269"/>
      <c r="J50" s="270" t="s">
        <v>1024</v>
      </c>
    </row>
    <row r="51" spans="1:10" ht="13.8" x14ac:dyDescent="0.3">
      <c r="A51" s="268" t="s">
        <v>1094</v>
      </c>
      <c r="B51" s="268" t="s">
        <v>629</v>
      </c>
      <c r="C51" s="267">
        <v>30</v>
      </c>
      <c r="D51" s="259"/>
      <c r="E51" s="267">
        <f t="shared" ref="E51" si="36">C51*D51</f>
        <v>0</v>
      </c>
      <c r="F51" s="268" t="s">
        <v>1024</v>
      </c>
      <c r="G51" s="259"/>
      <c r="H51" s="267">
        <f t="shared" ref="H51" si="37">C51*G51</f>
        <v>0</v>
      </c>
      <c r="I51" s="267">
        <f>E51+H51</f>
        <v>0</v>
      </c>
      <c r="J51" s="268" t="s">
        <v>1024</v>
      </c>
    </row>
    <row r="52" spans="1:10" ht="15" x14ac:dyDescent="0.35">
      <c r="A52" s="270" t="s">
        <v>1095</v>
      </c>
      <c r="B52" s="270" t="s">
        <v>1024</v>
      </c>
      <c r="C52" s="269"/>
      <c r="D52" s="260"/>
      <c r="E52" s="269"/>
      <c r="F52" s="270" t="s">
        <v>1024</v>
      </c>
      <c r="G52" s="260"/>
      <c r="H52" s="269"/>
      <c r="I52" s="269"/>
      <c r="J52" s="270" t="s">
        <v>1024</v>
      </c>
    </row>
    <row r="53" spans="1:10" ht="13.8" x14ac:dyDescent="0.3">
      <c r="A53" s="268" t="s">
        <v>1096</v>
      </c>
      <c r="B53" s="268" t="s">
        <v>629</v>
      </c>
      <c r="C53" s="267">
        <v>80</v>
      </c>
      <c r="D53" s="259"/>
      <c r="E53" s="267">
        <f t="shared" ref="E53" si="38">C53*D53</f>
        <v>0</v>
      </c>
      <c r="F53" s="268" t="s">
        <v>1024</v>
      </c>
      <c r="G53" s="259"/>
      <c r="H53" s="267">
        <f t="shared" ref="H53" si="39">C53*G53</f>
        <v>0</v>
      </c>
      <c r="I53" s="267">
        <f>E53+H53</f>
        <v>0</v>
      </c>
      <c r="J53" s="268" t="s">
        <v>1024</v>
      </c>
    </row>
    <row r="54" spans="1:10" ht="15" x14ac:dyDescent="0.35">
      <c r="A54" s="270" t="s">
        <v>1147</v>
      </c>
      <c r="B54" s="270" t="s">
        <v>1024</v>
      </c>
      <c r="C54" s="269"/>
      <c r="D54" s="260"/>
      <c r="E54" s="269"/>
      <c r="F54" s="270" t="s">
        <v>1024</v>
      </c>
      <c r="G54" s="260"/>
      <c r="H54" s="269"/>
      <c r="I54" s="269"/>
      <c r="J54" s="270" t="s">
        <v>1024</v>
      </c>
    </row>
    <row r="55" spans="1:10" ht="13.8" x14ac:dyDescent="0.3">
      <c r="A55" s="268" t="s">
        <v>1097</v>
      </c>
      <c r="B55" s="268" t="s">
        <v>632</v>
      </c>
      <c r="C55" s="267">
        <v>16</v>
      </c>
      <c r="D55" s="259"/>
      <c r="E55" s="267">
        <f t="shared" ref="E55" si="40">C55*D55</f>
        <v>0</v>
      </c>
      <c r="F55" s="268" t="s">
        <v>1024</v>
      </c>
      <c r="G55" s="259"/>
      <c r="H55" s="267">
        <f t="shared" ref="H55" si="41">C55*G55</f>
        <v>0</v>
      </c>
      <c r="I55" s="267">
        <f>E55+H55</f>
        <v>0</v>
      </c>
      <c r="J55" s="268" t="s">
        <v>1024</v>
      </c>
    </row>
    <row r="56" spans="1:10" ht="13.8" x14ac:dyDescent="0.3">
      <c r="A56" s="268" t="s">
        <v>1024</v>
      </c>
      <c r="B56" s="268" t="s">
        <v>1024</v>
      </c>
      <c r="C56" s="267"/>
      <c r="D56" s="258"/>
      <c r="E56" s="267"/>
      <c r="F56" s="268" t="s">
        <v>1024</v>
      </c>
      <c r="G56" s="258"/>
      <c r="H56" s="267"/>
      <c r="I56" s="267"/>
      <c r="J56" s="268" t="s">
        <v>1024</v>
      </c>
    </row>
    <row r="57" spans="1:10" ht="13.8" x14ac:dyDescent="0.3">
      <c r="A57" s="268" t="s">
        <v>1098</v>
      </c>
      <c r="B57" s="268" t="s">
        <v>638</v>
      </c>
      <c r="C57" s="267">
        <v>1</v>
      </c>
      <c r="D57" s="259"/>
      <c r="E57" s="267">
        <f t="shared" ref="E57:E60" si="42">C57*D57</f>
        <v>0</v>
      </c>
      <c r="F57" s="268" t="s">
        <v>1024</v>
      </c>
      <c r="G57" s="259"/>
      <c r="H57" s="267">
        <f t="shared" ref="H57:H58" si="43">C57*G57</f>
        <v>0</v>
      </c>
      <c r="I57" s="267">
        <f t="shared" ref="I57:I60" si="44">E57+H57</f>
        <v>0</v>
      </c>
      <c r="J57" s="268" t="s">
        <v>1024</v>
      </c>
    </row>
    <row r="58" spans="1:10" ht="13.8" x14ac:dyDescent="0.3">
      <c r="A58" s="268" t="s">
        <v>1099</v>
      </c>
      <c r="B58" s="268" t="s">
        <v>638</v>
      </c>
      <c r="C58" s="267">
        <v>1</v>
      </c>
      <c r="D58" s="259"/>
      <c r="E58" s="267">
        <f t="shared" si="42"/>
        <v>0</v>
      </c>
      <c r="F58" s="268" t="s">
        <v>1024</v>
      </c>
      <c r="G58" s="259"/>
      <c r="H58" s="267">
        <f t="shared" si="43"/>
        <v>0</v>
      </c>
      <c r="I58" s="267">
        <f t="shared" si="44"/>
        <v>0</v>
      </c>
      <c r="J58" s="268" t="s">
        <v>1024</v>
      </c>
    </row>
    <row r="59" spans="1:10" ht="13.8" x14ac:dyDescent="0.3">
      <c r="A59" s="268" t="s">
        <v>1024</v>
      </c>
      <c r="B59" s="268" t="s">
        <v>1024</v>
      </c>
      <c r="C59" s="267"/>
      <c r="D59" s="258"/>
      <c r="E59" s="267"/>
      <c r="F59" s="268" t="s">
        <v>1024</v>
      </c>
      <c r="G59" s="258"/>
      <c r="H59" s="267"/>
      <c r="I59" s="267"/>
      <c r="J59" s="268" t="s">
        <v>1024</v>
      </c>
    </row>
    <row r="60" spans="1:10" ht="13.8" x14ac:dyDescent="0.3">
      <c r="A60" s="268" t="s">
        <v>1100</v>
      </c>
      <c r="B60" s="268" t="s">
        <v>638</v>
      </c>
      <c r="C60" s="267">
        <v>1</v>
      </c>
      <c r="D60" s="259"/>
      <c r="E60" s="267">
        <f t="shared" si="42"/>
        <v>0</v>
      </c>
      <c r="F60" s="268" t="s">
        <v>1024</v>
      </c>
      <c r="G60" s="259"/>
      <c r="H60" s="267"/>
      <c r="I60" s="267">
        <f t="shared" si="44"/>
        <v>0</v>
      </c>
      <c r="J60" s="268" t="s">
        <v>1024</v>
      </c>
    </row>
    <row r="61" spans="1:10" ht="16.8" x14ac:dyDescent="0.4">
      <c r="A61" s="264" t="s">
        <v>1101</v>
      </c>
      <c r="B61" s="264" t="s">
        <v>1024</v>
      </c>
      <c r="C61" s="263"/>
      <c r="D61" s="256"/>
      <c r="E61" s="263">
        <f>SUM(E12:E60)</f>
        <v>0</v>
      </c>
      <c r="F61" s="264" t="s">
        <v>1024</v>
      </c>
      <c r="G61" s="256"/>
      <c r="H61" s="263">
        <f>SUM(H12:H60)</f>
        <v>0</v>
      </c>
      <c r="I61" s="263">
        <f>SUM(I12:I60)</f>
        <v>0</v>
      </c>
      <c r="J61" s="264" t="s">
        <v>1024</v>
      </c>
    </row>
    <row r="62" spans="1:10" ht="13.8" x14ac:dyDescent="0.3">
      <c r="A62" s="268" t="s">
        <v>1024</v>
      </c>
      <c r="B62" s="268" t="s">
        <v>1024</v>
      </c>
      <c r="C62" s="267"/>
      <c r="D62" s="258"/>
      <c r="E62" s="267"/>
      <c r="F62" s="268" t="s">
        <v>1024</v>
      </c>
      <c r="G62" s="258"/>
      <c r="H62" s="267"/>
      <c r="I62" s="267"/>
      <c r="J62" s="268" t="s">
        <v>1024</v>
      </c>
    </row>
    <row r="63" spans="1:10" ht="16.8" x14ac:dyDescent="0.4">
      <c r="A63" s="264" t="s">
        <v>1017</v>
      </c>
      <c r="B63" s="264" t="s">
        <v>1024</v>
      </c>
      <c r="C63" s="263"/>
      <c r="D63" s="256"/>
      <c r="E63" s="263"/>
      <c r="F63" s="264" t="s">
        <v>1024</v>
      </c>
      <c r="G63" s="256"/>
      <c r="H63" s="263"/>
      <c r="I63" s="263"/>
      <c r="J63" s="264" t="s">
        <v>1024</v>
      </c>
    </row>
    <row r="64" spans="1:10" ht="15" x14ac:dyDescent="0.35">
      <c r="A64" s="270" t="s">
        <v>1102</v>
      </c>
      <c r="B64" s="270" t="s">
        <v>1024</v>
      </c>
      <c r="C64" s="269"/>
      <c r="D64" s="260"/>
      <c r="E64" s="269"/>
      <c r="F64" s="270" t="s">
        <v>1024</v>
      </c>
      <c r="G64" s="260"/>
      <c r="H64" s="269"/>
      <c r="I64" s="269"/>
      <c r="J64" s="270" t="s">
        <v>1024</v>
      </c>
    </row>
    <row r="65" spans="1:10" ht="13.8" x14ac:dyDescent="0.3">
      <c r="A65" s="268" t="s">
        <v>1103</v>
      </c>
      <c r="B65" s="268" t="s">
        <v>637</v>
      </c>
      <c r="C65" s="267">
        <v>0.1</v>
      </c>
      <c r="D65" s="259"/>
      <c r="E65" s="267">
        <f t="shared" ref="E65" si="45">C65*D65</f>
        <v>0</v>
      </c>
      <c r="F65" s="268" t="s">
        <v>1024</v>
      </c>
      <c r="G65" s="259"/>
      <c r="H65" s="267">
        <v>0</v>
      </c>
      <c r="I65" s="267">
        <f t="shared" ref="I65" si="46">E65+H65</f>
        <v>0</v>
      </c>
      <c r="J65" s="268" t="s">
        <v>1024</v>
      </c>
    </row>
    <row r="66" spans="1:10" ht="15" x14ac:dyDescent="0.35">
      <c r="A66" s="270" t="s">
        <v>1104</v>
      </c>
      <c r="B66" s="270" t="s">
        <v>1024</v>
      </c>
      <c r="C66" s="269"/>
      <c r="D66" s="260"/>
      <c r="E66" s="269"/>
      <c r="F66" s="270" t="s">
        <v>1024</v>
      </c>
      <c r="G66" s="260"/>
      <c r="H66" s="269"/>
      <c r="I66" s="269"/>
      <c r="J66" s="270" t="s">
        <v>1024</v>
      </c>
    </row>
    <row r="67" spans="1:10" ht="13.8" x14ac:dyDescent="0.3">
      <c r="A67" s="268" t="s">
        <v>1105</v>
      </c>
      <c r="B67" s="268" t="s">
        <v>629</v>
      </c>
      <c r="C67" s="267">
        <v>75</v>
      </c>
      <c r="D67" s="259"/>
      <c r="E67" s="267">
        <f t="shared" ref="E67" si="47">C67*D67</f>
        <v>0</v>
      </c>
      <c r="F67" s="268" t="s">
        <v>1024</v>
      </c>
      <c r="G67" s="259"/>
      <c r="H67" s="267">
        <v>0</v>
      </c>
      <c r="I67" s="267">
        <f t="shared" ref="I67" si="48">E67+H67</f>
        <v>0</v>
      </c>
      <c r="J67" s="268" t="s">
        <v>1024</v>
      </c>
    </row>
    <row r="68" spans="1:10" ht="15" x14ac:dyDescent="0.35">
      <c r="A68" s="270" t="s">
        <v>1106</v>
      </c>
      <c r="B68" s="270" t="s">
        <v>1024</v>
      </c>
      <c r="C68" s="269"/>
      <c r="D68" s="260"/>
      <c r="E68" s="269"/>
      <c r="F68" s="270" t="s">
        <v>1024</v>
      </c>
      <c r="G68" s="260"/>
      <c r="H68" s="269"/>
      <c r="I68" s="269"/>
      <c r="J68" s="270" t="s">
        <v>1024</v>
      </c>
    </row>
    <row r="69" spans="1:10" ht="13.8" x14ac:dyDescent="0.3">
      <c r="A69" s="268" t="s">
        <v>1107</v>
      </c>
      <c r="B69" s="268" t="s">
        <v>629</v>
      </c>
      <c r="C69" s="267">
        <v>75</v>
      </c>
      <c r="D69" s="259"/>
      <c r="E69" s="267">
        <f t="shared" ref="E69" si="49">C69*D69</f>
        <v>0</v>
      </c>
      <c r="F69" s="268" t="s">
        <v>1024</v>
      </c>
      <c r="G69" s="259"/>
      <c r="H69" s="267">
        <v>0</v>
      </c>
      <c r="I69" s="267">
        <f t="shared" ref="I69" si="50">E69+H69</f>
        <v>0</v>
      </c>
      <c r="J69" s="268" t="s">
        <v>1024</v>
      </c>
    </row>
    <row r="70" spans="1:10" ht="15" x14ac:dyDescent="0.35">
      <c r="A70" s="270" t="s">
        <v>1108</v>
      </c>
      <c r="B70" s="270" t="s">
        <v>1024</v>
      </c>
      <c r="C70" s="269"/>
      <c r="D70" s="260"/>
      <c r="E70" s="269"/>
      <c r="F70" s="270" t="s">
        <v>1024</v>
      </c>
      <c r="G70" s="260"/>
      <c r="H70" s="269"/>
      <c r="I70" s="269"/>
      <c r="J70" s="270" t="s">
        <v>1024</v>
      </c>
    </row>
    <row r="71" spans="1:10" ht="13.8" x14ac:dyDescent="0.3">
      <c r="A71" s="268" t="s">
        <v>1109</v>
      </c>
      <c r="B71" s="268" t="s">
        <v>629</v>
      </c>
      <c r="C71" s="267">
        <v>75</v>
      </c>
      <c r="D71" s="259"/>
      <c r="E71" s="267">
        <f t="shared" ref="E71" si="51">C71*D71</f>
        <v>0</v>
      </c>
      <c r="F71" s="268" t="s">
        <v>1024</v>
      </c>
      <c r="G71" s="259"/>
      <c r="H71" s="267">
        <v>0</v>
      </c>
      <c r="I71" s="267">
        <f t="shared" ref="I71" si="52">E71+H71</f>
        <v>0</v>
      </c>
      <c r="J71" s="268" t="s">
        <v>1024</v>
      </c>
    </row>
    <row r="72" spans="1:10" ht="15" x14ac:dyDescent="0.35">
      <c r="A72" s="270" t="s">
        <v>1110</v>
      </c>
      <c r="B72" s="270" t="s">
        <v>1024</v>
      </c>
      <c r="C72" s="269"/>
      <c r="D72" s="260"/>
      <c r="E72" s="269"/>
      <c r="F72" s="270" t="s">
        <v>1024</v>
      </c>
      <c r="G72" s="260"/>
      <c r="H72" s="269"/>
      <c r="I72" s="269"/>
      <c r="J72" s="270" t="s">
        <v>1024</v>
      </c>
    </row>
    <row r="73" spans="1:10" ht="13.8" x14ac:dyDescent="0.3">
      <c r="A73" s="268" t="s">
        <v>1111</v>
      </c>
      <c r="B73" s="268" t="s">
        <v>626</v>
      </c>
      <c r="C73" s="267">
        <v>3</v>
      </c>
      <c r="D73" s="259"/>
      <c r="E73" s="267">
        <f t="shared" ref="E73" si="53">C73*D73</f>
        <v>0</v>
      </c>
      <c r="F73" s="268" t="s">
        <v>1024</v>
      </c>
      <c r="G73" s="259"/>
      <c r="H73" s="267">
        <v>0</v>
      </c>
      <c r="I73" s="267">
        <f t="shared" ref="I73" si="54">E73+H73</f>
        <v>0</v>
      </c>
      <c r="J73" s="268" t="s">
        <v>1024</v>
      </c>
    </row>
    <row r="74" spans="1:10" ht="15" x14ac:dyDescent="0.35">
      <c r="A74" s="270" t="s">
        <v>1112</v>
      </c>
      <c r="B74" s="270" t="s">
        <v>1024</v>
      </c>
      <c r="C74" s="269"/>
      <c r="D74" s="260"/>
      <c r="E74" s="269"/>
      <c r="F74" s="270" t="s">
        <v>1024</v>
      </c>
      <c r="G74" s="260"/>
      <c r="H74" s="269"/>
      <c r="I74" s="269"/>
      <c r="J74" s="270" t="s">
        <v>1024</v>
      </c>
    </row>
    <row r="75" spans="1:10" ht="13.8" x14ac:dyDescent="0.3">
      <c r="A75" s="268" t="s">
        <v>1105</v>
      </c>
      <c r="B75" s="268" t="s">
        <v>629</v>
      </c>
      <c r="C75" s="267">
        <v>75</v>
      </c>
      <c r="D75" s="259"/>
      <c r="E75" s="267">
        <f t="shared" ref="E75:E76" si="55">C75*D75</f>
        <v>0</v>
      </c>
      <c r="F75" s="268" t="s">
        <v>1024</v>
      </c>
      <c r="G75" s="259"/>
      <c r="H75" s="267">
        <v>0</v>
      </c>
      <c r="I75" s="267">
        <f t="shared" ref="I75:I76" si="56">E75+H75</f>
        <v>0</v>
      </c>
      <c r="J75" s="268" t="s">
        <v>1024</v>
      </c>
    </row>
    <row r="76" spans="1:10" ht="13.8" x14ac:dyDescent="0.3">
      <c r="A76" s="268" t="s">
        <v>1113</v>
      </c>
      <c r="B76" s="268" t="s">
        <v>625</v>
      </c>
      <c r="C76" s="267">
        <v>75</v>
      </c>
      <c r="D76" s="259"/>
      <c r="E76" s="267">
        <f t="shared" si="55"/>
        <v>0</v>
      </c>
      <c r="F76" s="268" t="s">
        <v>1024</v>
      </c>
      <c r="G76" s="259"/>
      <c r="H76" s="267">
        <v>0</v>
      </c>
      <c r="I76" s="267">
        <f t="shared" si="56"/>
        <v>0</v>
      </c>
      <c r="J76" s="268" t="s">
        <v>1024</v>
      </c>
    </row>
    <row r="77" spans="1:10" ht="13.8" x14ac:dyDescent="0.3">
      <c r="A77" s="268" t="s">
        <v>1024</v>
      </c>
      <c r="B77" s="268" t="s">
        <v>1024</v>
      </c>
      <c r="C77" s="267"/>
      <c r="D77" s="258"/>
      <c r="E77" s="267"/>
      <c r="F77" s="268" t="s">
        <v>1024</v>
      </c>
      <c r="G77" s="258"/>
      <c r="H77" s="267"/>
      <c r="I77" s="267"/>
      <c r="J77" s="268" t="s">
        <v>1024</v>
      </c>
    </row>
    <row r="78" spans="1:10" ht="16.8" x14ac:dyDescent="0.4">
      <c r="A78" s="264" t="s">
        <v>1114</v>
      </c>
      <c r="B78" s="264" t="s">
        <v>1024</v>
      </c>
      <c r="C78" s="263"/>
      <c r="D78" s="256"/>
      <c r="E78" s="263">
        <f>SUM(E65:E77)</f>
        <v>0</v>
      </c>
      <c r="F78" s="264" t="s">
        <v>1024</v>
      </c>
      <c r="G78" s="256"/>
      <c r="H78" s="263"/>
      <c r="I78" s="263">
        <f>SUM(I65:I77)</f>
        <v>0</v>
      </c>
      <c r="J78" s="264" t="s">
        <v>1024</v>
      </c>
    </row>
    <row r="79" spans="1:10" ht="13.8" x14ac:dyDescent="0.3">
      <c r="A79" s="268" t="s">
        <v>1024</v>
      </c>
      <c r="B79" s="268" t="s">
        <v>1024</v>
      </c>
      <c r="C79" s="267"/>
      <c r="D79" s="123"/>
      <c r="E79" s="267"/>
      <c r="F79" s="268" t="s">
        <v>1024</v>
      </c>
      <c r="G79" s="123"/>
      <c r="H79" s="267"/>
      <c r="I79" s="267"/>
      <c r="J79" s="268" t="s">
        <v>1024</v>
      </c>
    </row>
  </sheetData>
  <sheetProtection algorithmName="SHA-512" hashValue="VkRp0LU4g4PD7v/YEm1PSEWZ0WbpbpqxWQoy2+WIeKV/B68pgVMQzvFFR0GhChXFizloV/52sr4Xym/5fQiIzw==" saltValue="2u9pBR44+m30LJPwM3mqEg==" spinCount="100000" sheet="1" objects="1" scenarios="1"/>
  <protectedRanges>
    <protectedRange sqref="G4:G77" name="Oblast2"/>
    <protectedRange sqref="D4:D77" name="Oblast1"/>
  </protectedRanges>
  <pageMargins left="0.70866141732283472" right="0.70866141732283472" top="0.78740157480314965" bottom="0.78740157480314965" header="0.31496062992125984" footer="0.31496062992125984"/>
  <pageSetup paperSize="9" scale="7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Krycí list rozpočtu</vt:lpstr>
      <vt:lpstr>VORN</vt:lpstr>
      <vt:lpstr>Stavební rozpočet - součet</vt:lpstr>
      <vt:lpstr>Stavební rozpočet</vt:lpstr>
      <vt:lpstr>Výkaz výměr</vt:lpstr>
      <vt:lpstr>Rekapitulace EI</vt:lpstr>
      <vt:lpstr>Rozpočet EI</vt:lpstr>
      <vt:lpstr>'Rekapitulace EI'!Oblast_tisku</vt:lpstr>
      <vt:lpstr>'Rozpočet EI'!Oblast_tisku</vt:lpstr>
      <vt:lpstr>vorn_sum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sylva.chmelova@chmels.cz</dc:creator>
  <cp:lastModifiedBy>AUGUSTOVÁ Eleonora</cp:lastModifiedBy>
  <cp:lastPrinted>2019-08-15T12:56:43Z</cp:lastPrinted>
  <dcterms:created xsi:type="dcterms:W3CDTF">2019-08-09T07:13:29Z</dcterms:created>
  <dcterms:modified xsi:type="dcterms:W3CDTF">2019-08-15T13:18:29Z</dcterms:modified>
</cp:coreProperties>
</file>