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8195" windowHeight="7815" firstSheet="7" activeTab="7"/>
  </bookViews>
  <sheets>
    <sheet name="Tabulka-přehled" sheetId="1" state="hidden" r:id="rId1"/>
    <sheet name="Povrchy_přehled" sheetId="2" state="hidden" r:id="rId2"/>
    <sheet name="1_KALKULACE_úklid_paušál" sheetId="3" state="hidden" r:id="rId3"/>
    <sheet name="KALKULACE_Okna" sheetId="4" state="hidden" r:id="rId4"/>
    <sheet name="KALKULACE_Svitidla" sheetId="5" state="hidden" r:id="rId5"/>
    <sheet name="KALKULACE_Žaluzie" sheetId="6" state="hidden" r:id="rId6"/>
    <sheet name="Radiatory" sheetId="7" state="hidden" r:id="rId7"/>
    <sheet name="Tabulka-detailní přehled " sheetId="8" r:id="rId8"/>
  </sheets>
  <definedNames>
    <definedName name="_xlnm.Print_Titles" localSheetId="7">'Tabulka-detailní přehled '!$2:$2</definedName>
    <definedName name="_xlnm.Print_Titles" localSheetId="0">'Tabulka-přehled'!$2:$2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<sst xmlns="http://schemas.openxmlformats.org/spreadsheetml/2006/main" count="1482" uniqueCount="365">
  <si>
    <t>Kategorie</t>
  </si>
  <si>
    <t>A</t>
  </si>
  <si>
    <t>D</t>
  </si>
  <si>
    <t>E</t>
  </si>
  <si>
    <t>Celkový součet</t>
  </si>
  <si>
    <t>Typy</t>
  </si>
  <si>
    <t>Součet z H - okno malé (2tab.), rám dř., parapet lamino 160x60</t>
  </si>
  <si>
    <t>Součet z CH - okno malé, rám dř., parapet lamino 100x75</t>
  </si>
  <si>
    <t>Součet z I - okno u výtahu 150x320</t>
  </si>
  <si>
    <t>Součet z J - okno (6tab.) 190x140</t>
  </si>
  <si>
    <t>Součet z K - okno (6tab.) 270x200</t>
  </si>
  <si>
    <t>Součet z L - okno  200x210</t>
  </si>
  <si>
    <t>Součet z M - okno  90x200</t>
  </si>
  <si>
    <t>Součet z A -okno - 6dílné dřev. dvojsklo, otevíratelné, parapet dř., 2vrst.  156x195</t>
  </si>
  <si>
    <t>Součet z B - okno - 6dílné dřev. dvojsklo, otevíratelné, parapet lamino., 2vrst.  156x195</t>
  </si>
  <si>
    <t>Součet z C - okna - 6dílné dřev. dvojsklo, otevíratelné, parapet dřev.,  velké 140x110</t>
  </si>
  <si>
    <t>Součet z D - okna  - 6dílné dřev. dvojsklo, otevíratelné, parapet dřev.,  malé 115x59</t>
  </si>
  <si>
    <t>Součet z E - okno 4 dílné, rám dř., parapet lamino 130x150</t>
  </si>
  <si>
    <t>Součet z G - okno 4 dílné, rám dř., parapet lamino 160x140</t>
  </si>
  <si>
    <t>Celkem</t>
  </si>
  <si>
    <t>Součet z a - vertikální, látkové, 190x200</t>
  </si>
  <si>
    <t>Součet z b -vertikální, látkové 190x245</t>
  </si>
  <si>
    <t>Součet z c - vertikální, látkové 190x520</t>
  </si>
  <si>
    <t>Součet z d - vertikální, látkové 230x255</t>
  </si>
  <si>
    <t xml:space="preserve">Součet z e -  horizontální, hliníkové 170x190 </t>
  </si>
  <si>
    <t>Součet z f - horizontální, hliníkové 180x210</t>
  </si>
  <si>
    <t>Součet z g -horizontální, hliníkové 50x90</t>
  </si>
  <si>
    <t>Součet z h - horizontální, hliníkové  180x75</t>
  </si>
  <si>
    <t>Součet z ch - horizontální, hliníkové 50x70</t>
  </si>
  <si>
    <t>Součet z i - horizontální, hliníkové 60x175</t>
  </si>
  <si>
    <t>Využití 1-ano 0-ne</t>
  </si>
  <si>
    <t>vertikální</t>
  </si>
  <si>
    <t>horizontální</t>
  </si>
  <si>
    <t>Součet z F - okna  - jinde nezařazená uváděno v m2 100x100</t>
  </si>
  <si>
    <t>(Vše)</t>
  </si>
  <si>
    <t>ks</t>
  </si>
  <si>
    <r>
      <t>plocha k mytí v m</t>
    </r>
    <r>
      <rPr>
        <b/>
        <vertAlign val="superscript"/>
        <sz val="11"/>
        <color indexed="8"/>
        <rFont val="Calibri"/>
        <family val="2"/>
      </rPr>
      <t>2</t>
    </r>
  </si>
  <si>
    <t xml:space="preserve">  </t>
  </si>
  <si>
    <r>
      <t>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               k mytí</t>
    </r>
  </si>
  <si>
    <t>plus</t>
  </si>
  <si>
    <t>minus</t>
  </si>
  <si>
    <t>okna</t>
  </si>
  <si>
    <t>žaluzie</t>
  </si>
  <si>
    <t>dveře</t>
  </si>
  <si>
    <t>č. kanc.</t>
  </si>
  <si>
    <t>Prostor</t>
  </si>
  <si>
    <t>rozměry</t>
  </si>
  <si>
    <t>plocha</t>
  </si>
  <si>
    <t>plocha celkem</t>
  </si>
  <si>
    <t>typ</t>
  </si>
  <si>
    <t>plocha2</t>
  </si>
  <si>
    <t>typ2</t>
  </si>
  <si>
    <t>skříň mala/ks</t>
  </si>
  <si>
    <t>skříň velká/ks</t>
  </si>
  <si>
    <t>další plocha m2</t>
  </si>
  <si>
    <t>minus celkem2</t>
  </si>
  <si>
    <t>plocha k úklidu</t>
  </si>
  <si>
    <t>povrch</t>
  </si>
  <si>
    <t>A -okno - 6dílné dřev. dvojsklo, otevíratelné, parapet dř., 2vrst.  156x195</t>
  </si>
  <si>
    <t>B - okno - 6dílné dřev. dvojsklo, otevíratelné, parapet lamino., 2vrst.  156x195</t>
  </si>
  <si>
    <t>C - okna - 6dílné dřev. dvojsklo, otevíratelné, parapet dřev.,  velké 140x110</t>
  </si>
  <si>
    <t>D - okna  - 6dílné dřev. dvojsklo, otevíratelné, parapet dřev.,  malé 115x59</t>
  </si>
  <si>
    <t>E - okno 4 dílné, rám dř., parapet lamino 130x150</t>
  </si>
  <si>
    <t>F - okna  - jinde nezařazená uváděno v m2 100x100</t>
  </si>
  <si>
    <t>G - okno 4 dílné, rám dř., parapet lamino 160x140</t>
  </si>
  <si>
    <t>H - okno malé (2tab.), rám dř., parapet lamino 160x60</t>
  </si>
  <si>
    <t>CH - okno malé, rám dř., parapet lamino 100x75</t>
  </si>
  <si>
    <t>I - okno u výtahu 150x320</t>
  </si>
  <si>
    <t>J - okno (6tab.) 190x140</t>
  </si>
  <si>
    <t>K - okno (6tab.) 270x200</t>
  </si>
  <si>
    <t>L - okno  200x210</t>
  </si>
  <si>
    <t>M - okno  90x200</t>
  </si>
  <si>
    <t>a - vertikální, látkové, 190x200</t>
  </si>
  <si>
    <t>b -vertikální, látkové 190x245</t>
  </si>
  <si>
    <t>c - vertikální, látkové 190x520</t>
  </si>
  <si>
    <t>d - vertikální, látkové 230x255</t>
  </si>
  <si>
    <t xml:space="preserve">e -  horizontální, hliníkové 170x190 </t>
  </si>
  <si>
    <t>f - horizontální, hliníkové 180x210</t>
  </si>
  <si>
    <t>g -horizontální, hliníkové 50x90</t>
  </si>
  <si>
    <t>h - horizontální, hliníkové  180x75</t>
  </si>
  <si>
    <t>ch - horizontální, hliníkové 50x70</t>
  </si>
  <si>
    <t>i - horizontální, hliníkové 60x175</t>
  </si>
  <si>
    <t>1 - 90x210, oboustran. polstrování</t>
  </si>
  <si>
    <t>2 - 90x210, jednostran. polstrování</t>
  </si>
  <si>
    <t>3 -  90x210 bez polstrování</t>
  </si>
  <si>
    <t>4 -  80x200  oboustran. polstrování</t>
  </si>
  <si>
    <t>5 -  80x200 , jednostran. polstrování</t>
  </si>
  <si>
    <t>6 -  80x200 zašupovací</t>
  </si>
  <si>
    <t>7 -  80x200 prosklené (3díly), rám dřev.</t>
  </si>
  <si>
    <t xml:space="preserve">8 -  80x200 </t>
  </si>
  <si>
    <t>9 - 245x280 prosklené, dřev.rám</t>
  </si>
  <si>
    <t>10 - 100x266 celé dřevěné</t>
  </si>
  <si>
    <t>11 - 70x280 prosklené, dřev.rám</t>
  </si>
  <si>
    <t>12 - 70x210 celé</t>
  </si>
  <si>
    <t>13 - 270x220 - 12 proskl.tab., dřev. rám</t>
  </si>
  <si>
    <t>14 - 90x220 prosklené, 2 dílné</t>
  </si>
  <si>
    <t>15 - 160x220 prosklené, dřev.rám (9 tabulí)</t>
  </si>
  <si>
    <t>16 - 190x274 prosklené (7tabulí), dřevěný rám</t>
  </si>
  <si>
    <t>17 - 220x230 dveře s prosklenou plochou</t>
  </si>
  <si>
    <t>18 - 130x200 prosklené (2 tab.), dřevěné</t>
  </si>
  <si>
    <t>19 - 250x200 prosklené, dřev.rám</t>
  </si>
  <si>
    <t>20 - 90x200</t>
  </si>
  <si>
    <t>21 - 145x200 celé dřev.</t>
  </si>
  <si>
    <t>22 - 240x260 rám dřev., prosklené (19tab.)</t>
  </si>
  <si>
    <t>23 - 95x260 rám dřev., 1 prosklená tab.</t>
  </si>
  <si>
    <t>24 - 60x195</t>
  </si>
  <si>
    <t>25 - 217x268 rám dřev., prosklené (19tab.)</t>
  </si>
  <si>
    <t>26 - 100x200 rám dřev., prosklené (3 tab.)</t>
  </si>
  <si>
    <t>27 - 150x200 rám dřev., prosklené (6 tab.)</t>
  </si>
  <si>
    <t>28 - 175x243 rám dřev., prosklené</t>
  </si>
  <si>
    <t>skleněná pokl. Přepážka 180x210</t>
  </si>
  <si>
    <t>Umyvadla</t>
  </si>
  <si>
    <t>Poznámka</t>
  </si>
  <si>
    <t>chodba</t>
  </si>
  <si>
    <t>dlažba</t>
  </si>
  <si>
    <t>stříška před vchodem</t>
  </si>
  <si>
    <t xml:space="preserve">schodiště </t>
  </si>
  <si>
    <t>kuchyňka</t>
  </si>
  <si>
    <t>2,45x5,20</t>
  </si>
  <si>
    <t>linka</t>
  </si>
  <si>
    <t>linoleum</t>
  </si>
  <si>
    <t>ředitel</t>
  </si>
  <si>
    <t>5,76x4,97</t>
  </si>
  <si>
    <t>koberec</t>
  </si>
  <si>
    <t>sekretariát</t>
  </si>
  <si>
    <t>4,9x5</t>
  </si>
  <si>
    <t>zádveří</t>
  </si>
  <si>
    <t>skříňky</t>
  </si>
  <si>
    <t xml:space="preserve"> </t>
  </si>
  <si>
    <t>vedoucí odboru</t>
  </si>
  <si>
    <t>5,29x4,99</t>
  </si>
  <si>
    <t>kancelář</t>
  </si>
  <si>
    <t>4,99x2,9</t>
  </si>
  <si>
    <t>4,99x2,63</t>
  </si>
  <si>
    <t>2,64x4,99</t>
  </si>
  <si>
    <t>2,69x4,99</t>
  </si>
  <si>
    <t>2,93x4,99</t>
  </si>
  <si>
    <t>5x3,15</t>
  </si>
  <si>
    <t>5x2,1</t>
  </si>
  <si>
    <t>serverovna</t>
  </si>
  <si>
    <t>5,12x2,62</t>
  </si>
  <si>
    <t>5,11x2,57</t>
  </si>
  <si>
    <t>5,12x2,73</t>
  </si>
  <si>
    <t>5,13x2,32</t>
  </si>
  <si>
    <t>5,13x2,74</t>
  </si>
  <si>
    <t>5,12x2,66</t>
  </si>
  <si>
    <t>5,2x2,5</t>
  </si>
  <si>
    <t>pokladna</t>
  </si>
  <si>
    <t>5x2,40</t>
  </si>
  <si>
    <t>přepážka</t>
  </si>
  <si>
    <t>WC</t>
  </si>
  <si>
    <t>3,15x3,55+1,20x1,55</t>
  </si>
  <si>
    <t>kumbál</t>
  </si>
  <si>
    <t>1,85x1,55</t>
  </si>
  <si>
    <t>atrium</t>
  </si>
  <si>
    <t>7,42x2,34</t>
  </si>
  <si>
    <t>předsíňka</t>
  </si>
  <si>
    <t>5,10x2,30</t>
  </si>
  <si>
    <t xml:space="preserve">sedačka </t>
  </si>
  <si>
    <t>zasedačka</t>
  </si>
  <si>
    <t>8,50x4,95</t>
  </si>
  <si>
    <t>skříňky, stůl</t>
  </si>
  <si>
    <t>2,70x5</t>
  </si>
  <si>
    <t xml:space="preserve">       </t>
  </si>
  <si>
    <t>2,60x5</t>
  </si>
  <si>
    <t>5,20x5</t>
  </si>
  <si>
    <t>2,80x5</t>
  </si>
  <si>
    <t>2,90x5</t>
  </si>
  <si>
    <t>4,45x6,65</t>
  </si>
  <si>
    <t>pilíř, stěna 2x</t>
  </si>
  <si>
    <t>3,10x0,93</t>
  </si>
  <si>
    <t>2,36x5,60</t>
  </si>
  <si>
    <t>2,63x5,35</t>
  </si>
  <si>
    <t xml:space="preserve">pilíř </t>
  </si>
  <si>
    <t>2,58x4,80</t>
  </si>
  <si>
    <t>7,70x11,54</t>
  </si>
  <si>
    <t xml:space="preserve">   </t>
  </si>
  <si>
    <t>1,30x1,08+1,08x1,40</t>
  </si>
  <si>
    <t>0,87x2,40+1,20x2,80</t>
  </si>
  <si>
    <t>4x3,70</t>
  </si>
  <si>
    <t>3,80x4,70+0,5</t>
  </si>
  <si>
    <t>3x5,80</t>
  </si>
  <si>
    <t>sloupy</t>
  </si>
  <si>
    <t>4,15x5,60</t>
  </si>
  <si>
    <t>5,40x3,40</t>
  </si>
  <si>
    <t>výklenek</t>
  </si>
  <si>
    <t>2,20x24,10</t>
  </si>
  <si>
    <t>4,85x10,5</t>
  </si>
  <si>
    <t>2,84x8,37+5,70x2,60+22,70x2,20+1,5x2,30</t>
  </si>
  <si>
    <t>zádveří u výtahu</t>
  </si>
  <si>
    <t>5,60x2,17</t>
  </si>
  <si>
    <t>4,70x2,80</t>
  </si>
  <si>
    <t>průčelí 10,1x1,8</t>
  </si>
  <si>
    <t>2x1,75+2x2+2x3,80+2x1,75+2x2</t>
  </si>
  <si>
    <t>průčelí 9,86x1,64</t>
  </si>
  <si>
    <t>průčelí 10,4x1,7</t>
  </si>
  <si>
    <t>5,40x2,56</t>
  </si>
  <si>
    <t>5,30x5,13</t>
  </si>
  <si>
    <t>5,44x2,77</t>
  </si>
  <si>
    <t>2,60x5,43</t>
  </si>
  <si>
    <t>5,12x5,10</t>
  </si>
  <si>
    <t>2,76x5,13</t>
  </si>
  <si>
    <t>5,12x5,40</t>
  </si>
  <si>
    <t>5,02x5,13</t>
  </si>
  <si>
    <t>3,41x5,15</t>
  </si>
  <si>
    <t>5,37x1,45</t>
  </si>
  <si>
    <t>3,26x5,40</t>
  </si>
  <si>
    <t>2,60x5,40</t>
  </si>
  <si>
    <t>4,50x5,80</t>
  </si>
  <si>
    <t>2,71x5,36</t>
  </si>
  <si>
    <t>5,51x5,38</t>
  </si>
  <si>
    <t>3,23x5,10</t>
  </si>
  <si>
    <t>2,33x5,16</t>
  </si>
  <si>
    <t>5,38x5,10</t>
  </si>
  <si>
    <t>5,00x2,90</t>
  </si>
  <si>
    <t>5,42x5,10</t>
  </si>
  <si>
    <t xml:space="preserve">zádveří </t>
  </si>
  <si>
    <t>2,53x5,08</t>
  </si>
  <si>
    <t>5,13x5,08</t>
  </si>
  <si>
    <t>skříně</t>
  </si>
  <si>
    <t>3,06x5,08</t>
  </si>
  <si>
    <t>2,72x5,08</t>
  </si>
  <si>
    <t>0,98x5,08</t>
  </si>
  <si>
    <t>5,96x2,41</t>
  </si>
  <si>
    <t>1; sprcha</t>
  </si>
  <si>
    <t>5,30x5,10</t>
  </si>
  <si>
    <t>3,05x5,60</t>
  </si>
  <si>
    <t>roh</t>
  </si>
  <si>
    <t>2,25x5,60</t>
  </si>
  <si>
    <t>2,70x5,60</t>
  </si>
  <si>
    <t>2,40X2,60</t>
  </si>
  <si>
    <t>2,40X6</t>
  </si>
  <si>
    <t>5,40X7,95</t>
  </si>
  <si>
    <t>2,95X5,30</t>
  </si>
  <si>
    <t>2,95X6,05</t>
  </si>
  <si>
    <t>4,60X5,60</t>
  </si>
  <si>
    <t>18,90x2,15</t>
  </si>
  <si>
    <t>3,40x2,15</t>
  </si>
  <si>
    <t>2,15x13,70</t>
  </si>
  <si>
    <t>2,40x19,7+1,50x2,30</t>
  </si>
  <si>
    <t>8x2,38</t>
  </si>
  <si>
    <t>2,40x4,85</t>
  </si>
  <si>
    <t>2,85x4,65</t>
  </si>
  <si>
    <t>ARCHIV</t>
  </si>
  <si>
    <t>4,9x8,05+2x0,6</t>
  </si>
  <si>
    <t>Součet z plocha k úklidu</t>
  </si>
  <si>
    <t>Povrch</t>
  </si>
  <si>
    <t>výtah</t>
  </si>
  <si>
    <r>
      <t>Cena za 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bez DPH</t>
    </r>
  </si>
  <si>
    <t xml:space="preserve"> --</t>
  </si>
  <si>
    <r>
      <t>Cena za 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 bez DPH</t>
    </r>
  </si>
  <si>
    <t>Celkem okna včetně parapetů</t>
  </si>
  <si>
    <t>Cena za pravidelný měsíční úklid v Kč bez DPH</t>
  </si>
  <si>
    <t>Cena za pravidelný měsíční úklid v Kč včetně DPH</t>
  </si>
  <si>
    <t>Cena celkem bez DPH</t>
  </si>
  <si>
    <t>Cena celkem konečná (vč. DPH)</t>
  </si>
  <si>
    <t>beton</t>
  </si>
  <si>
    <t>Součet z skleněná pokl. Přepážka 180x210</t>
  </si>
  <si>
    <t>Parapety 30x210</t>
  </si>
  <si>
    <t>Radiátory</t>
  </si>
  <si>
    <t>Zářivka, 1 trubice 130x25</t>
  </si>
  <si>
    <t>Zářivka, 2 trubice 130x35</t>
  </si>
  <si>
    <t>Zářivka, 4 trubice 130x65</t>
  </si>
  <si>
    <t>Zářivka, 2 trubice 160x35</t>
  </si>
  <si>
    <t>Zářivka, 4 trubice 160x65</t>
  </si>
  <si>
    <t>Zářivka, 4 trubice 50x50</t>
  </si>
  <si>
    <t>Zářivka, 1 trubice 200x14</t>
  </si>
  <si>
    <t>Zářivka, 1 trubice 110x14</t>
  </si>
  <si>
    <t>Zářivka, 2 trubice 50x14</t>
  </si>
  <si>
    <t>Zářivka, 2 trubice 67x14</t>
  </si>
  <si>
    <t>Zářivka kulatá, průměr 20-40</t>
  </si>
  <si>
    <t>Bodovky</t>
  </si>
  <si>
    <t>Světlo půlkulaté, sklo</t>
  </si>
  <si>
    <t>Zářivka, 2 trubice 160x20</t>
  </si>
  <si>
    <t>Zářivka, 2 trubice 60x35</t>
  </si>
  <si>
    <t>Zářivka, 1 trubice 160x12</t>
  </si>
  <si>
    <t>Světla</t>
  </si>
  <si>
    <t>Plechové 60x60x1122</t>
  </si>
  <si>
    <t>Plechové 45x45x7</t>
  </si>
  <si>
    <t>Plechové 45x60x11</t>
  </si>
  <si>
    <t>Plechové90x45x11</t>
  </si>
  <si>
    <t>Plechové 90x50x11</t>
  </si>
  <si>
    <t>Plechové 90x60x7</t>
  </si>
  <si>
    <t>Plechové 90x60x11</t>
  </si>
  <si>
    <t>Plechové 105x45x11</t>
  </si>
  <si>
    <t>Plechové 105x60x7</t>
  </si>
  <si>
    <t>Plechové 105x60x11</t>
  </si>
  <si>
    <t>Plechové 120x45x11</t>
  </si>
  <si>
    <t>Plechové 120x60x7</t>
  </si>
  <si>
    <t>Plechové 120x60x11</t>
  </si>
  <si>
    <t>Plechové 135x45x7</t>
  </si>
  <si>
    <t>Plechové 135x60x7</t>
  </si>
  <si>
    <t>Plechové 120x45x7</t>
  </si>
  <si>
    <t>Plechové 60x45x11</t>
  </si>
  <si>
    <t>Plechové 140x60x11</t>
  </si>
  <si>
    <t>Plechové 75x45x11</t>
  </si>
  <si>
    <t>Plechové 140x60x7</t>
  </si>
  <si>
    <t>Plechové 135x45x11</t>
  </si>
  <si>
    <t>Plechové 105x30x11</t>
  </si>
  <si>
    <t>Plechové 60x60x7</t>
  </si>
  <si>
    <t>Plechové 160x60x7</t>
  </si>
  <si>
    <t>Plechové 60x90x11</t>
  </si>
  <si>
    <t>Plechové 75x90x11</t>
  </si>
  <si>
    <t>Plechové 75x90x7</t>
  </si>
  <si>
    <t>Plechové 75x60x7</t>
  </si>
  <si>
    <t>Plechové 105x30x7</t>
  </si>
  <si>
    <t>Plechové 105x45x7</t>
  </si>
  <si>
    <t>Součet z Zářivka, 1 trubice 130x25</t>
  </si>
  <si>
    <t>Součet z Zářivka, 2 trubice 130x35</t>
  </si>
  <si>
    <t>Součet z Zářivka, 4 trubice 130x65</t>
  </si>
  <si>
    <t>Součet z Zářivka, 1 trubice 160x12</t>
  </si>
  <si>
    <t>Součet z Zářivka, 2 trubice 160x20</t>
  </si>
  <si>
    <t>Součet z Zářivka, 2 trubice 60x35</t>
  </si>
  <si>
    <t>Součet z Zářivka, 2 trubice 160x35</t>
  </si>
  <si>
    <t>Součet z Zářivka, 2 trubice 67x14</t>
  </si>
  <si>
    <t>Součet z Zářivka, 2 trubice 50x14</t>
  </si>
  <si>
    <t>Součet z Zářivka, 4 trubice 160x65</t>
  </si>
  <si>
    <t>Součet z Zářivka, 4 trubice 50x50</t>
  </si>
  <si>
    <t>Součet z Zářivka, 1 trubice 110x14</t>
  </si>
  <si>
    <t>Součet z Zářivka, 1 trubice 200x14</t>
  </si>
  <si>
    <t>Součet z Zářivka kulatá, průměr 20-40</t>
  </si>
  <si>
    <t>Součet z Bodovky</t>
  </si>
  <si>
    <t>Součet z Světlo půlkulaté, sklo</t>
  </si>
  <si>
    <t>Hodnoty</t>
  </si>
  <si>
    <t>Součet z Plechové 45x45x7</t>
  </si>
  <si>
    <t>Součet z Plechové 45x60x11</t>
  </si>
  <si>
    <t>Součet z Plechové 105x45x7</t>
  </si>
  <si>
    <t>Součet z Plechové 60x60x1122</t>
  </si>
  <si>
    <t>Součet z Plechové 105x30x7</t>
  </si>
  <si>
    <t>Součet z Plechové 75x60x7</t>
  </si>
  <si>
    <t>Součet z Plechové 75x90x11</t>
  </si>
  <si>
    <t>Součet z Plechové 75x90x7</t>
  </si>
  <si>
    <t>Součet z Plechové 160x60x7</t>
  </si>
  <si>
    <t>Součet z Plechové 60x90x11</t>
  </si>
  <si>
    <t>Součet z Plechové 60x60x7</t>
  </si>
  <si>
    <t>Součet z Plechové 140x60x7</t>
  </si>
  <si>
    <t>Součet z Plechové 105x30x11</t>
  </si>
  <si>
    <t>Součet z Plechové 135x45x11</t>
  </si>
  <si>
    <t>Součet z Plechové 120x45x7</t>
  </si>
  <si>
    <t>Součet z Plechové 75x45x11</t>
  </si>
  <si>
    <t>Součet z Plechové 140x60x11</t>
  </si>
  <si>
    <t>Součet z Plechové 60x45x11</t>
  </si>
  <si>
    <t>Součet z Plechové90x45x11</t>
  </si>
  <si>
    <t>Součet z Plechové 135x60x7</t>
  </si>
  <si>
    <t>Součet z Plechové 135x45x7</t>
  </si>
  <si>
    <t>Součet z Plechové 120x60x11</t>
  </si>
  <si>
    <t>Součet z Plechové 120x60x7</t>
  </si>
  <si>
    <t>Součet z Plechové 105x60x11</t>
  </si>
  <si>
    <t>Součet z Plechové 120x45x11</t>
  </si>
  <si>
    <t>Součet z Plechové 105x60x7</t>
  </si>
  <si>
    <t>Součet z Plechové 90x50x11</t>
  </si>
  <si>
    <t>Součet z Plechové 90x60x7</t>
  </si>
  <si>
    <t>Součet z Plechové 105x45x11</t>
  </si>
  <si>
    <t>Součet z Plechové 90x60x11</t>
  </si>
  <si>
    <r>
      <t>Cena za ks</t>
    </r>
    <r>
      <rPr>
        <b/>
        <sz val="11"/>
        <color indexed="8"/>
        <rFont val="Calibri"/>
        <family val="2"/>
      </rPr>
      <t xml:space="preserve"> bez DPH</t>
    </r>
  </si>
  <si>
    <t>U typu "F" je nutno zvážit použití plošiny!</t>
  </si>
  <si>
    <r>
      <t>m</t>
    </r>
    <r>
      <rPr>
        <b/>
        <vertAlign val="superscript"/>
        <sz val="11"/>
        <color indexed="8"/>
        <rFont val="Calibri"/>
        <family val="2"/>
      </rPr>
      <t>2</t>
    </r>
  </si>
  <si>
    <t>Cena za úklid m2/měsíc v Kč bez DPH2</t>
  </si>
  <si>
    <r>
      <t>Cena za úklid m</t>
    </r>
    <r>
      <rPr>
        <b/>
        <u val="single"/>
        <vertAlign val="superscript"/>
        <sz val="11"/>
        <color indexed="8"/>
        <rFont val="Calibri"/>
        <family val="2"/>
      </rPr>
      <t>2</t>
    </r>
    <r>
      <rPr>
        <b/>
        <u val="single"/>
        <sz val="11"/>
        <color indexed="8"/>
        <rFont val="Calibri"/>
        <family val="2"/>
      </rPr>
      <t>/den v Kč bez DPH</t>
    </r>
  </si>
  <si>
    <t>B</t>
  </si>
  <si>
    <t>sklad</t>
  </si>
  <si>
    <t>Číslo místnosti</t>
  </si>
  <si>
    <t>Popis místnosti</t>
  </si>
  <si>
    <r>
      <t>Plocha k úklidu v m</t>
    </r>
    <r>
      <rPr>
        <b/>
        <u val="single"/>
        <vertAlign val="superscript"/>
        <sz val="11"/>
        <color indexed="8"/>
        <rFont val="Calibri"/>
        <family val="2"/>
      </rPr>
      <t>2</t>
    </r>
  </si>
  <si>
    <t>Povrch (podlahová krytina)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</si>
</sst>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5" fillId="33" borderId="0" xfId="0" applyFont="1" applyFill="1" applyAlignment="1">
      <alignment/>
    </xf>
    <xf numFmtId="0" fontId="0" fillId="33" borderId="10" xfId="0" applyFill="1" applyBorder="1" applyAlignment="1">
      <alignment wrapText="1"/>
    </xf>
    <xf numFmtId="0" fontId="25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 applyAlignment="1">
      <alignment/>
    </xf>
    <xf numFmtId="0" fontId="25" fillId="33" borderId="10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ont="1" applyFill="1" applyAlignment="1">
      <alignment horizontal="right"/>
    </xf>
    <xf numFmtId="4" fontId="0" fillId="10" borderId="12" xfId="0" applyNumberFormat="1" applyFill="1" applyBorder="1" applyAlignment="1">
      <alignment/>
    </xf>
    <xf numFmtId="0" fontId="0" fillId="10" borderId="10" xfId="0" applyFill="1" applyBorder="1" applyAlignment="1">
      <alignment/>
    </xf>
    <xf numFmtId="0" fontId="25" fillId="10" borderId="1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left" wrapText="1"/>
    </xf>
    <xf numFmtId="4" fontId="0" fillId="33" borderId="10" xfId="0" applyNumberFormat="1" applyFill="1" applyBorder="1" applyAlignment="1">
      <alignment/>
    </xf>
    <xf numFmtId="4" fontId="25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4" fontId="0" fillId="10" borderId="10" xfId="0" applyNumberFormat="1" applyFill="1" applyBorder="1" applyAlignment="1">
      <alignment/>
    </xf>
    <xf numFmtId="4" fontId="25" fillId="10" borderId="10" xfId="0" applyNumberFormat="1" applyFont="1" applyFill="1" applyBorder="1" applyAlignment="1">
      <alignment/>
    </xf>
    <xf numFmtId="0" fontId="25" fillId="0" borderId="11" xfId="0" applyFont="1" applyBorder="1" applyAlignment="1">
      <alignment/>
    </xf>
    <xf numFmtId="0" fontId="0" fillId="10" borderId="11" xfId="0" applyFill="1" applyBorder="1" applyAlignment="1">
      <alignment/>
    </xf>
    <xf numFmtId="0" fontId="25" fillId="10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10" borderId="14" xfId="0" applyNumberFormat="1" applyFont="1" applyFill="1" applyBorder="1" applyAlignment="1">
      <alignment/>
    </xf>
    <xf numFmtId="0" fontId="0" fillId="10" borderId="14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33" borderId="16" xfId="0" applyFont="1" applyFill="1" applyBorder="1" applyAlignment="1">
      <alignment/>
    </xf>
    <xf numFmtId="0" fontId="25" fillId="10" borderId="14" xfId="0" applyFont="1" applyFill="1" applyBorder="1" applyAlignment="1">
      <alignment/>
    </xf>
    <xf numFmtId="0" fontId="25" fillId="10" borderId="15" xfId="0" applyFont="1" applyFill="1" applyBorder="1" applyAlignment="1">
      <alignment/>
    </xf>
    <xf numFmtId="0" fontId="40" fillId="10" borderId="17" xfId="0" applyFont="1" applyFill="1" applyBorder="1" applyAlignment="1">
      <alignment horizontal="left" vertical="center"/>
    </xf>
    <xf numFmtId="0" fontId="40" fillId="1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0" fontId="0" fillId="33" borderId="18" xfId="0" applyFill="1" applyBorder="1" applyAlignment="1">
      <alignment horizontal="left"/>
    </xf>
    <xf numFmtId="0" fontId="25" fillId="34" borderId="0" xfId="0" applyFont="1" applyFill="1" applyAlignment="1">
      <alignment/>
    </xf>
    <xf numFmtId="0" fontId="0" fillId="33" borderId="18" xfId="0" applyFill="1" applyBorder="1" applyAlignment="1">
      <alignment horizontal="right" wrapText="1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Font="1" applyBorder="1" applyAlignment="1">
      <alignment horizontal="right" vertical="center" wrapText="1"/>
    </xf>
    <xf numFmtId="0" fontId="40" fillId="10" borderId="19" xfId="0" applyFont="1" applyFill="1" applyBorder="1" applyAlignment="1">
      <alignment horizontal="left" vertical="center"/>
    </xf>
    <xf numFmtId="0" fontId="0" fillId="10" borderId="17" xfId="0" applyFill="1" applyBorder="1" applyAlignment="1">
      <alignment/>
    </xf>
    <xf numFmtId="0" fontId="0" fillId="10" borderId="1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18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0" fillId="0" borderId="10" xfId="0" applyFont="1" applyBorder="1" applyAlignment="1">
      <alignment vertical="center" textRotation="90" wrapText="1"/>
    </xf>
    <xf numFmtId="0" fontId="40" fillId="0" borderId="18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0.0"/>
      <border/>
    </dxf>
    <dxf>
      <border>
        <left style="thin"/>
        <right style="thin"/>
        <top style="thin"/>
        <bottom style="thin"/>
      </border>
    </dxf>
    <dxf>
      <numFmt numFmtId="2" formatCode="0.00"/>
      <border/>
    </dxf>
    <dxf>
      <alignment wrapText="1" readingOrder="0"/>
      <border/>
    </dxf>
    <dxf>
      <font>
        <b/>
      </font>
      <border/>
    </dxf>
    <dxf>
      <fill>
        <patternFill patternType="solid">
          <bgColor rgb="FFFFFF00"/>
        </patternFill>
      </fill>
      <border/>
    </dxf>
    <dxf>
      <fill>
        <patternFill>
          <bgColor rgb="FFFFFF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ulka2"/>
  </cacheSource>
  <cacheFields count="117">
    <cacheField name="č. kanc.">
      <sharedItems containsSemiMixedTypes="0" containsString="0" containsMixedTypes="0" containsNumber="1" containsInteger="1"/>
    </cacheField>
    <cacheField name="Prostor">
      <sharedItems containsMixedTypes="0"/>
    </cacheField>
    <cacheField name="Využití 1-ano 0-ne">
      <sharedItems containsSemiMixedTypes="0" containsString="0" containsMixedTypes="0" containsNumber="1" containsInteger="1" count="8">
        <n v="11"/>
        <n v="21"/>
        <n v="20"/>
        <n v="31"/>
        <n v="30"/>
        <n v="41"/>
        <n v="51"/>
        <n v="40"/>
      </sharedItems>
    </cacheField>
    <cacheField name="Kategorie">
      <sharedItems containsMixedTypes="0" count="5">
        <s v="A"/>
        <s v="D"/>
        <s v="E"/>
        <s v="   "/>
        <s v="B"/>
      </sharedItems>
    </cacheField>
    <cacheField name="rozměry">
      <sharedItems containsMixedTypes="0"/>
    </cacheField>
    <cacheField name="plocha">
      <sharedItems containsSemiMixedTypes="0" containsString="0" containsMixedTypes="0" containsNumber="1"/>
    </cacheField>
    <cacheField name="plocha celkem">
      <sharedItems containsSemiMixedTypes="0" containsString="0" containsMixedTypes="0" containsNumber="1"/>
    </cacheField>
    <cacheField name="typ">
      <sharedItems containsMixedTypes="0"/>
    </cacheField>
    <cacheField name="plocha2">
      <sharedItems containsMixedTypes="1" containsNumber="1"/>
    </cacheField>
    <cacheField name="typ2">
      <sharedItems containsMixedTypes="0"/>
    </cacheField>
    <cacheField name="skříň mala/ks">
      <sharedItems containsMixedTypes="1" containsNumber="1" containsInteger="1"/>
    </cacheField>
    <cacheField name="skříň velká/ks">
      <sharedItems containsMixedTypes="1" containsNumber="1" containsInteger="1"/>
    </cacheField>
    <cacheField name="další plocha m2">
      <sharedItems containsMixedTypes="1" containsNumber="1"/>
    </cacheField>
    <cacheField name="minus celkem2">
      <sharedItems containsMixedTypes="1" containsNumber="1"/>
    </cacheField>
    <cacheField name="plocha k ?klidu">
      <sharedItems containsSemiMixedTypes="0" containsString="0" containsMixedTypes="0" containsNumber="1"/>
    </cacheField>
    <cacheField name="povrch">
      <sharedItems containsBlank="1" containsMixedTypes="0" count="6">
        <s v="dlažba"/>
        <s v="linoleum"/>
        <s v="koberec"/>
        <s v="beton"/>
        <m/>
        <s v="  "/>
      </sharedItems>
    </cacheField>
    <cacheField name="A -okno - 6dílné dřev. dvojsklo, otevíratelné, parapet dř., 2vrst.  156x195">
      <sharedItems containsMixedTypes="1" containsNumber="1" containsInteger="1"/>
    </cacheField>
    <cacheField name="B - okno - 6dílné dřev. dvojsklo, otevíratelné, parapet lamino., 2vrst.  156x195">
      <sharedItems containsMixedTypes="1" containsNumber="1" containsInteger="1"/>
    </cacheField>
    <cacheField name="C - okna - 6dílné dřev. dvojsklo, otevíratelné, parapet dřev.,  velké 140x110">
      <sharedItems containsMixedTypes="1" containsNumber="1" containsInteger="1"/>
    </cacheField>
    <cacheField name="D - okna  - 6dílné dřev. dvojsklo, otevíratelné, parapet dřev.,  malé 115x59">
      <sharedItems containsMixedTypes="1" containsNumber="1" containsInteger="1"/>
    </cacheField>
    <cacheField name="E - okno 4 dílné, rám dř., parapet lamino 130x150">
      <sharedItems containsMixedTypes="1" containsNumber="1" containsInteger="1"/>
    </cacheField>
    <cacheField name="F - okna  - jinde nezařazená uváděno v m2 100x100">
      <sharedItems containsMixedTypes="1" containsNumber="1"/>
    </cacheField>
    <cacheField name="G - okno 4 dílné, rám dř., parapet lamino 160x140">
      <sharedItems containsMixedTypes="1" containsNumber="1" containsInteger="1"/>
    </cacheField>
    <cacheField name="H - okno malé (2tab.), rám dř., parapet lamino 160x60">
      <sharedItems containsMixedTypes="1" containsNumber="1" containsInteger="1"/>
    </cacheField>
    <cacheField name="CH - okno malé, rám dř., parapet lamino 100x75">
      <sharedItems containsMixedTypes="1" containsNumber="1" containsInteger="1"/>
    </cacheField>
    <cacheField name="I - okno u v?tahu 150x320">
      <sharedItems containsMixedTypes="1" containsNumber="1" containsInteger="1"/>
    </cacheField>
    <cacheField name="J - okno (6tab.) 190x140">
      <sharedItems containsMixedTypes="1" containsNumber="1" containsInteger="1"/>
    </cacheField>
    <cacheField name="K - okno (6tab.) 270x200">
      <sharedItems containsMixedTypes="1" containsNumber="1" containsInteger="1"/>
    </cacheField>
    <cacheField name="L - okno  200x210">
      <sharedItems containsMixedTypes="1" containsNumber="1" containsInteger="1"/>
    </cacheField>
    <cacheField name="M - okno  90x200">
      <sharedItems containsMixedTypes="1" containsNumber="1" containsInteger="1"/>
    </cacheField>
    <cacheField name="a - vertik?ln?, l?tkov?, 190x200">
      <sharedItems containsMixedTypes="1" containsNumber="1" containsInteger="1"/>
    </cacheField>
    <cacheField name="b -vertik?ln?, l?tkov? 190x245">
      <sharedItems containsMixedTypes="1" containsNumber="1" containsInteger="1"/>
    </cacheField>
    <cacheField name="c - vertik?ln?, l?tkov? 190x520">
      <sharedItems containsMixedTypes="1" containsNumber="1" containsInteger="1"/>
    </cacheField>
    <cacheField name="d - vertik?ln?, l?tkov? 230x255">
      <sharedItems containsMixedTypes="1" containsNumber="1" containsInteger="1"/>
    </cacheField>
    <cacheField name="e -  horizont?ln?, hlin?kov? 170x190 ">
      <sharedItems containsMixedTypes="1" containsNumber="1" containsInteger="1"/>
    </cacheField>
    <cacheField name="f - horizont?ln?, hlin?kov? 180x210">
      <sharedItems containsMixedTypes="1" containsNumber="1" containsInteger="1"/>
    </cacheField>
    <cacheField name="g -horizont?ln?, hlin?kov? 50x90">
      <sharedItems containsMixedTypes="1" containsNumber="1" containsInteger="1"/>
    </cacheField>
    <cacheField name="h - horizont?ln?, hlin?kov?  180x75">
      <sharedItems containsMixedTypes="1" containsNumber="1" containsInteger="1"/>
    </cacheField>
    <cacheField name="ch - horizont?ln?, hlin?kov? 50x70">
      <sharedItems containsMixedTypes="1" containsNumber="1" containsInteger="1"/>
    </cacheField>
    <cacheField name="i - horizont?ln?, hlin?kov? 60x175">
      <sharedItems containsMixedTypes="1" containsNumber="1" containsInteger="1"/>
    </cacheField>
    <cacheField name="1 - 90x210, oboustran. polstrov?n?">
      <sharedItems containsMixedTypes="1" containsNumber="1" containsInteger="1"/>
    </cacheField>
    <cacheField name="2 - 90x210, jednostran. polstrov?n?">
      <sharedItems containsMixedTypes="1" containsNumber="1" containsInteger="1"/>
    </cacheField>
    <cacheField name="3 -  90x210 bez polstrov?n?">
      <sharedItems containsMixedTypes="1" containsNumber="1" containsInteger="1"/>
    </cacheField>
    <cacheField name="4 -  80x200  oboustran. polstrov?n?">
      <sharedItems containsMixedTypes="1" containsNumber="1" containsInteger="1"/>
    </cacheField>
    <cacheField name="5 -  80x200 , jednostran. polstrov?n?">
      <sharedItems containsMixedTypes="1" containsNumber="1" containsInteger="1"/>
    </cacheField>
    <cacheField name="6 -  80x200 zašupovací">
      <sharedItems containsMixedTypes="1" containsNumber="1" containsInteger="1"/>
    </cacheField>
    <cacheField name="7 -  80x200 prosklené (3díly), rám dřev.">
      <sharedItems containsMixedTypes="1" containsNumber="1" containsInteger="1"/>
    </cacheField>
    <cacheField name="8 -  80x200 ">
      <sharedItems containsMixedTypes="1" containsNumber="1" containsInteger="1"/>
    </cacheField>
    <cacheField name="9 - 245x280 prosklené, dřev.rám">
      <sharedItems containsMixedTypes="1" containsNumber="1" containsInteger="1"/>
    </cacheField>
    <cacheField name="10 - 100x266 celé dřevěné">
      <sharedItems containsMixedTypes="1" containsNumber="1" containsInteger="1"/>
    </cacheField>
    <cacheField name="11 - 70x280 prosklené, dřev.rám">
      <sharedItems containsMixedTypes="1" containsNumber="1" containsInteger="1"/>
    </cacheField>
    <cacheField name="12 - 70x210 cel?">
      <sharedItems containsMixedTypes="1" containsNumber="1" containsInteger="1"/>
    </cacheField>
    <cacheField name="13 - 270x220 - 12 proskl.tab., dřev. rám">
      <sharedItems containsMixedTypes="1" containsNumber="1" containsInteger="1"/>
    </cacheField>
    <cacheField name="14 - 90x220 prosklen?, 2 d?ln?">
      <sharedItems containsMixedTypes="1" containsNumber="1" containsInteger="1"/>
    </cacheField>
    <cacheField name="15 - 160x220 prosklené, dřev.rám (9 tabulí)">
      <sharedItems containsMixedTypes="1" containsNumber="1" containsInteger="1"/>
    </cacheField>
    <cacheField name="16 - 190x274 prosklené (7tabulí), dřevěný rám">
      <sharedItems containsMixedTypes="1" containsNumber="1" containsInteger="1"/>
    </cacheField>
    <cacheField name="17 - 220x230 dveře s prosklenou plochou">
      <sharedItems containsMixedTypes="1" containsNumber="1" containsInteger="1"/>
    </cacheField>
    <cacheField name="18 - 130x200 prosklené (2 tab.), dřevěné">
      <sharedItems containsMixedTypes="1" containsNumber="1" containsInteger="1"/>
    </cacheField>
    <cacheField name="19 - 250x200 prosklené, dřev.rám">
      <sharedItems containsMixedTypes="1" containsNumber="1" containsInteger="1"/>
    </cacheField>
    <cacheField name="20 - 90x200">
      <sharedItems containsMixedTypes="1" containsNumber="1" containsInteger="1"/>
    </cacheField>
    <cacheField name="21 - 145x200 celé dřev.">
      <sharedItems containsMixedTypes="1" containsNumber="1" containsInteger="1"/>
    </cacheField>
    <cacheField name="22 - 240x260 rám dřev., prosklené (19tab.)">
      <sharedItems containsMixedTypes="1" containsNumber="1" containsInteger="1"/>
    </cacheField>
    <cacheField name="23 - 95x260 rám dřev., 1 prosklená tab.">
      <sharedItems containsMixedTypes="1" containsNumber="1" containsInteger="1"/>
    </cacheField>
    <cacheField name="24 - 60x195">
      <sharedItems containsMixedTypes="1" containsNumber="1" containsInteger="1"/>
    </cacheField>
    <cacheField name="25 - 217x268 rám dřev., prosklené (19tab.)">
      <sharedItems containsMixedTypes="1" containsNumber="1" containsInteger="1"/>
    </cacheField>
    <cacheField name="26 - 100x200 rám dřev., prosklené (3 tab.)">
      <sharedItems containsMixedTypes="1" containsNumber="1" containsInteger="1"/>
    </cacheField>
    <cacheField name="27 - 150x200 rám dřev., prosklené (6 tab.)">
      <sharedItems containsMixedTypes="1" containsNumber="1" containsInteger="1"/>
    </cacheField>
    <cacheField name="28 - 175x243 rám dřev., prosklené">
      <sharedItems containsMixedTypes="1" containsNumber="1" containsInteger="1"/>
    </cacheField>
    <cacheField name="skleněná pokl. Přepážka 180x210">
      <sharedItems containsMixedTypes="1" containsNumber="1" containsInteger="1"/>
    </cacheField>
    <cacheField name="Zářivka, 1 trubice 130x25">
      <sharedItems containsMixedTypes="1" containsNumber="1" containsInteger="1"/>
    </cacheField>
    <cacheField name="Zářivka, 2 trubice 130x35">
      <sharedItems containsMixedTypes="1" containsNumber="1" containsInteger="1"/>
    </cacheField>
    <cacheField name="Zářivka, 4 trubice 130x65">
      <sharedItems containsMixedTypes="1" containsNumber="1" containsInteger="1"/>
    </cacheField>
    <cacheField name="Zářivka, 2 trubice 160x35">
      <sharedItems containsMixedTypes="1" containsNumber="1" containsInteger="1"/>
    </cacheField>
    <cacheField name="Zářivka, 4 trubice 160x65">
      <sharedItems containsMixedTypes="1" containsNumber="1" containsInteger="1"/>
    </cacheField>
    <cacheField name="Zářivka, 4 trubice 50x50">
      <sharedItems containsMixedTypes="1" containsNumber="1" containsInteger="1"/>
    </cacheField>
    <cacheField name="Zářivka, 1 trubice 200x14">
      <sharedItems containsMixedTypes="1" containsNumber="1" containsInteger="1"/>
    </cacheField>
    <cacheField name="Zářivka, 1 trubice 110x14">
      <sharedItems containsMixedTypes="0"/>
    </cacheField>
    <cacheField name="Zářivka, 2 trubice 50x14">
      <sharedItems containsMixedTypes="1" containsNumber="1" containsInteger="1"/>
    </cacheField>
    <cacheField name="Zářivka, 2 trubice 67x14">
      <sharedItems containsMixedTypes="1" containsNumber="1" containsInteger="1"/>
    </cacheField>
    <cacheField name="Zářivka kulatá, průměr 20-40">
      <sharedItems containsMixedTypes="1" containsNumber="1" containsInteger="1"/>
    </cacheField>
    <cacheField name="Bodovky">
      <sharedItems containsMixedTypes="1" containsNumber="1" containsInteger="1"/>
    </cacheField>
    <cacheField name="Světlo půlkulaté, sklo">
      <sharedItems containsMixedTypes="1" containsNumber="1" containsInteger="1"/>
    </cacheField>
    <cacheField name="Zářivka, 2 trubice 160x20">
      <sharedItems containsMixedTypes="1" containsNumber="1" containsInteger="1"/>
    </cacheField>
    <cacheField name="Zářivka, 2 trubice 60x35">
      <sharedItems containsMixedTypes="1" containsNumber="1" containsInteger="1"/>
    </cacheField>
    <cacheField name="Zářivka, 1 trubice 160x12">
      <sharedItems containsMixedTypes="1" containsNumber="1" containsInteger="1"/>
    </cacheField>
    <cacheField name="Umyvadla">
      <sharedItems containsMixedTypes="1" containsNumber="1" containsInteger="1"/>
    </cacheField>
    <cacheField name="Plechov? 45x45x7">
      <sharedItems containsMixedTypes="1" containsNumber="1" containsInteger="1"/>
    </cacheField>
    <cacheField name="Plechov? 45x60x11">
      <sharedItems containsMixedTypes="1" containsNumber="1" containsInteger="1"/>
    </cacheField>
    <cacheField name="Plechov? 60x60x1122">
      <sharedItems containsMixedTypes="1" containsNumber="1" containsInteger="1"/>
    </cacheField>
    <cacheField name="Plechov?90x45x11">
      <sharedItems containsMixedTypes="1" containsNumber="1" containsInteger="1"/>
    </cacheField>
    <cacheField name="Plechov? 90x50x11">
      <sharedItems containsMixedTypes="1" containsNumber="1" containsInteger="1"/>
    </cacheField>
    <cacheField name="Plechov? 90x60x7">
      <sharedItems containsMixedTypes="1" containsNumber="1" containsInteger="1"/>
    </cacheField>
    <cacheField name="Plechov? 90x60x11">
      <sharedItems containsMixedTypes="1" containsNumber="1" containsInteger="1"/>
    </cacheField>
    <cacheField name="Plechov? 105x45x11">
      <sharedItems containsMixedTypes="1" containsNumber="1" containsInteger="1"/>
    </cacheField>
    <cacheField name="Plechov? 105x60x7">
      <sharedItems containsMixedTypes="1" containsNumber="1" containsInteger="1"/>
    </cacheField>
    <cacheField name="Plechov? 105x60x11">
      <sharedItems containsMixedTypes="1" containsNumber="1" containsInteger="1"/>
    </cacheField>
    <cacheField name="Plechov? 120x45x11">
      <sharedItems containsMixedTypes="1" containsNumber="1" containsInteger="1"/>
    </cacheField>
    <cacheField name="Plechov? 120x60x7">
      <sharedItems containsMixedTypes="1" containsNumber="1" containsInteger="1"/>
    </cacheField>
    <cacheField name="Plechov? 120x60x11">
      <sharedItems containsMixedTypes="1" containsNumber="1" containsInteger="1"/>
    </cacheField>
    <cacheField name="Plechov? 135x45x7">
      <sharedItems containsMixedTypes="1" containsNumber="1" containsInteger="1"/>
    </cacheField>
    <cacheField name="Plechov? 135x60x7">
      <sharedItems containsMixedTypes="1" containsNumber="1" containsInteger="1"/>
    </cacheField>
    <cacheField name="Plechov? 120x45x7">
      <sharedItems containsMixedTypes="1" containsNumber="1" containsInteger="1"/>
    </cacheField>
    <cacheField name="Plechov? 60x45x11">
      <sharedItems containsMixedTypes="1" containsNumber="1" containsInteger="1"/>
    </cacheField>
    <cacheField name="Plechov? 140x60x11">
      <sharedItems containsMixedTypes="1" containsNumber="1" containsInteger="1"/>
    </cacheField>
    <cacheField name="Plechov? 75x45x11">
      <sharedItems containsMixedTypes="1" containsNumber="1" containsInteger="1"/>
    </cacheField>
    <cacheField name="Plechov? 140x60x7">
      <sharedItems containsMixedTypes="1" containsNumber="1" containsInteger="1"/>
    </cacheField>
    <cacheField name="Plechov? 135x45x11">
      <sharedItems containsMixedTypes="1" containsNumber="1" containsInteger="1"/>
    </cacheField>
    <cacheField name="Plechov? 105x30x11">
      <sharedItems containsMixedTypes="1" containsNumber="1" containsInteger="1"/>
    </cacheField>
    <cacheField name="Plechov? 60x60x7">
      <sharedItems containsMixedTypes="1" containsNumber="1" containsInteger="1"/>
    </cacheField>
    <cacheField name="Plechov? 160x60x7">
      <sharedItems containsMixedTypes="1" containsNumber="1" containsInteger="1"/>
    </cacheField>
    <cacheField name="Plechov? 60x90x11">
      <sharedItems containsMixedTypes="1" containsNumber="1" containsInteger="1"/>
    </cacheField>
    <cacheField name="Plechov? 75x90x11">
      <sharedItems containsMixedTypes="1" containsNumber="1" containsInteger="1"/>
    </cacheField>
    <cacheField name="Plechov? 75x90x7">
      <sharedItems containsMixedTypes="1" containsNumber="1" containsInteger="1"/>
    </cacheField>
    <cacheField name="Plechov? 75x60x7">
      <sharedItems containsMixedTypes="1" containsNumber="1" containsInteger="1"/>
    </cacheField>
    <cacheField name="Plechov? 105x30x7">
      <sharedItems containsMixedTypes="0"/>
    </cacheField>
    <cacheField name="Plechov? 105x45x7">
      <sharedItems containsMixedTypes="1" containsNumber="1" containsInteger="1"/>
    </cacheField>
    <cacheField name="Pozn?mk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2" cacheId="1" applyNumberFormats="0" applyBorderFormats="0" applyFontFormats="0" applyPatternFormats="0" applyAlignmentFormats="0" applyWidthHeightFormats="0" dataCaption="Hodnoty" showMissing="1" preserveFormatting="1" itemPrintTitles="1" compactData="0" updatedVersion="2" indent="0" showMemberPropertyTips="1">
  <location ref="B3:F9" firstHeaderRow="1" firstDataRow="2" firstDataCol="1" rowPageCount="1" colPageCount="1"/>
  <pivotFields count="117">
    <pivotField showAll="0"/>
    <pivotField showAll="0" defaultSubtotal="0"/>
    <pivotField axis="axisPage" showAll="0" defaultSubtotal="0">
      <items count="8">
        <item x="0"/>
        <item x="2"/>
        <item x="1"/>
        <item x="4"/>
        <item x="3"/>
        <item m="1" x="7"/>
        <item x="6"/>
        <item x="5"/>
      </items>
    </pivotField>
    <pivotField axis="axisCol" showAll="0">
      <items count="6">
        <item m="1" x="3"/>
        <item x="0"/>
        <item m="1" x="4"/>
        <item x="1"/>
        <item x="2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 defaultSubtotal="0"/>
    <pivotField dataField="1" showAll="0" numFmtId="2"/>
    <pivotField axis="axisRow" showAll="0">
      <items count="7">
        <item m="1" x="5"/>
        <item x="0"/>
        <item x="2"/>
        <item x="1"/>
        <item m="1" x="4"/>
        <item x="3"/>
        <item t="default"/>
      </items>
    </pivotField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5"/>
  </rowFields>
  <rowItems count="5">
    <i>
      <x v="1"/>
    </i>
    <i>
      <x v="2"/>
    </i>
    <i>
      <x v="3"/>
    </i>
    <i>
      <x v="5"/>
    </i>
    <i t="grand">
      <x/>
    </i>
  </rowItems>
  <colFields count="1">
    <field x="3"/>
  </colFields>
  <colItems count="4">
    <i>
      <x v="1"/>
    </i>
    <i>
      <x v="3"/>
    </i>
    <i>
      <x v="4"/>
    </i>
    <i t="grand">
      <x/>
    </i>
  </colItems>
  <pageFields count="1">
    <pageField fld="2" hier="0"/>
  </pageFields>
  <dataFields count="1">
    <dataField name="Součet z plocha k úklidu" fld="14" baseField="0" baseItem="0" numFmtId="2"/>
  </dataFields>
  <formats count="3">
    <format dxfId="6">
      <pivotArea outline="0" fieldPosition="0" grandRow="1"/>
    </format>
    <format dxfId="7">
      <pivotArea outline="0" fieldPosition="0" dataOnly="0" type="all"/>
    </format>
    <format dxfId="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3" cacheId="1" dataOnRows="1" applyNumberFormats="0" applyBorderFormats="0" applyFontFormats="0" applyPatternFormats="0" applyAlignmentFormats="0" applyWidthHeightFormats="0" dataCaption="Typy" showMissing="1" preserveFormatting="1" itemPrintTitles="1" compactData="0" updatedVersion="2" indent="0" showMemberPropertyTips="1">
  <location ref="B3:F19" firstHeaderRow="1" firstDataRow="2" firstDataCol="1" rowPageCount="1" colPageCount="1"/>
  <pivotFields count="117">
    <pivotField subtotalTop="0" showAll="0" defaultSubtotal="0"/>
    <pivotField subtotalTop="0" showAll="0" defaultSubtotal="0"/>
    <pivotField axis="axisPage" subtotalTop="0" showAll="0" defaultSubtotal="0">
      <items count="8">
        <item x="0"/>
        <item x="2"/>
        <item x="1"/>
        <item x="4"/>
        <item x="3"/>
        <item m="1" x="7"/>
        <item x="6"/>
        <item x="5"/>
      </items>
    </pivotField>
    <pivotField axis="axisCol" subtotalTop="0" showAll="0" defaultSubtotal="0">
      <items count="5">
        <item m="1" x="3"/>
        <item x="0"/>
        <item m="1" x="4"/>
        <item x="1"/>
        <item x="2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numFmtId="2" defaultSubtotal="0"/>
    <pivotField subtotalTop="0" showAll="0" defaultSubtota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dataField="1" subtotalTop="0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ubtotalTop="0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ubtotalTop="0" showAll="0" defaultSubtotal="0"/>
  </pivotFields>
  <rowFields count="1">
    <field x="-2"/>
  </rowFields>
  <row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rowItems>
  <colFields count="1">
    <field x="3"/>
  </colFields>
  <colItems count="4">
    <i>
      <x v="1"/>
    </i>
    <i>
      <x v="3"/>
    </i>
    <i>
      <x v="4"/>
    </i>
    <i t="grand">
      <x/>
    </i>
  </colItems>
  <pageFields count="1">
    <pageField fld="2" hier="0"/>
  </pageFields>
  <dataFields count="15">
    <dataField name="Součet z A -okno - 6dílné dřev. dvojsklo, otevíratelné, parapet dř., 2vrst.  156x195" fld="16" baseField="0" baseItem="0"/>
    <dataField name="Součet z B - okno - 6dílné dřev. dvojsklo, otevíratelné, parapet lamino., 2vrst.  156x195" fld="17" baseField="0" baseItem="0"/>
    <dataField name="Součet z C - okna - 6dílné dřev. dvojsklo, otevíratelné, parapet dřev.,  velké 140x110" fld="18" baseField="0" baseItem="0"/>
    <dataField name="Součet z D - okna  - 6dílné dřev. dvojsklo, otevíratelné, parapet dřev.,  malé 115x59" fld="19" baseField="0" baseItem="0"/>
    <dataField name="Součet z E - okno 4 dílné, rám dř., parapet lamino 130x150" fld="20" baseField="0" baseItem="0"/>
    <dataField name="Součet z F - okna  - jinde nezařazená uváděno v m2 100x100" fld="21" baseField="3" baseItem="1"/>
    <dataField name="Součet z G - okno 4 dílné, rám dř., parapet lamino 160x140" fld="22" baseField="0" baseItem="0"/>
    <dataField name="Součet z H - okno malé (2tab.), rám dř., parapet lamino 160x60" fld="23" baseField="0" baseItem="0"/>
    <dataField name="Součet z CH - okno malé, rám dř., parapet lamino 100x75" fld="24" baseField="0" baseItem="0"/>
    <dataField name="Součet z I - okno u výtahu 150x320" fld="25" baseField="0" baseItem="0"/>
    <dataField name="Součet z J - okno (6tab.) 190x140" fld="26" baseField="0" baseItem="0"/>
    <dataField name="Součet z K - okno (6tab.) 270x200" fld="27" baseField="0" baseItem="0"/>
    <dataField name="Součet z L - okno  200x210" fld="28" baseField="0" baseItem="0"/>
    <dataField name="Součet z M - okno  90x200" fld="29" baseField="0" baseItem="0"/>
    <dataField name="Součet z skleněná pokl. Přepážka 180x210" fld="68" baseField="3" baseItem="1"/>
  </dataFields>
  <formats count="7">
    <format dxfId="9">
      <pivotArea outline="0" fieldPosition="0" axis="axisValues" dataOnly="0" labelOnly="1"/>
    </format>
    <format dxfId="7">
      <pivotArea outline="0" fieldPosition="0" dataOnly="0" type="all"/>
    </format>
    <format dxfId="10">
      <pivotArea outline="0" fieldPosition="0" grandCol="1"/>
    </format>
    <format dxfId="11">
      <pivotArea outline="0" fieldPosition="0" dataOnly="0" labelOnly="1">
        <references count="1">
          <reference field="4294967294" count="1">
            <x v="5"/>
          </reference>
        </references>
      </pivotArea>
    </format>
    <format dxfId="9">
      <pivotArea outline="0" fieldPosition="0" dataOnly="0" grandCol="1" labelOnly="1"/>
    </format>
    <format dxfId="9">
      <pivotArea outline="0" fieldPosition="0" dataOnly="0" labelOnly="1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1" cacheId="1" dataOnRows="1" applyNumberFormats="0" applyBorderFormats="0" applyFontFormats="0" applyPatternFormats="0" applyAlignmentFormats="0" applyWidthHeightFormats="0" dataCaption="Typy" showMissing="1" preserveFormatting="1" itemPrintTitles="1" compactData="0" updatedVersion="2" indent="0" showMemberPropertyTips="1">
  <location ref="B3:C19" firstHeaderRow="1" firstDataRow="1" firstDataCol="1" rowPageCount="1" colPageCount="1"/>
  <pivotFields count="117">
    <pivotField showAll="0"/>
    <pivotField showAll="0" defaultSubtotal="0"/>
    <pivotField axis="axisPage" showAll="0" defaultSubtotal="0">
      <items count="8">
        <item x="0"/>
        <item x="2"/>
        <item x="1"/>
        <item x="4"/>
        <item x="3"/>
        <item m="1" x="7"/>
        <item x="6"/>
        <item x="5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 numFmtId="2"/>
    <pivotField showAl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-2"/>
  </rowFields>
  <row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rowItems>
  <colItems count="1">
    <i/>
  </colItems>
  <pageFields count="1">
    <pageField fld="2" hier="0"/>
  </pageFields>
  <dataFields count="16">
    <dataField name="Součet z Zářivka, 1 trubice 130x25" fld="69" baseField="3" baseItem="1"/>
    <dataField name="Součet z Zářivka, 2 trubice 130x35" fld="70" baseField="3" baseItem="1"/>
    <dataField name="Součet z Zářivka, 4 trubice 130x65" fld="71" baseField="3" baseItem="1"/>
    <dataField name="Součet z Zářivka, 1 trubice 160x12" fld="84" baseField="3" baseItem="1"/>
    <dataField name="Součet z Zářivka, 2 trubice 160x20" fld="82" baseField="3" baseItem="1"/>
    <dataField name="Součet z Zářivka, 2 trubice 60x35" fld="83" baseField="3" baseItem="1"/>
    <dataField name="Součet z Zářivka, 2 trubice 160x35" fld="72" baseField="3" baseItem="1"/>
    <dataField name="Součet z Zářivka, 2 trubice 67x14" fld="78" baseField="3" baseItem="1"/>
    <dataField name="Součet z Zářivka, 2 trubice 50x14" fld="77" baseField="3" baseItem="1"/>
    <dataField name="Součet z Zářivka, 4 trubice 160x65" fld="73" baseField="3" baseItem="1"/>
    <dataField name="Součet z Zářivka, 4 trubice 50x50" fld="74" baseField="3" baseItem="1"/>
    <dataField name="Součet z Zářivka, 1 trubice 110x14" fld="76" baseField="3" baseItem="1"/>
    <dataField name="Součet z Zářivka, 1 trubice 200x14" fld="75" baseField="3" baseItem="1"/>
    <dataField name="Součet z Zářivka kulatá, průměr 20-40" fld="79" baseField="3" baseItem="1"/>
    <dataField name="Součet z Bodovky" fld="80" baseField="3" baseItem="1"/>
    <dataField name="Součet z Světlo půlkulaté, sklo" fld="81" baseField="3" baseItem="1"/>
  </dataFields>
  <formats count="4">
    <format dxfId="7">
      <pivotArea outline="0" fieldPosition="0" dataOnly="0" type="all"/>
    </format>
    <format dxfId="10">
      <pivotArea outline="0" fieldPosition="0" grandCol="1"/>
    </format>
    <format dxfId="9">
      <pivotArea outline="0" fieldPosition="0" dataOnly="0" grandCol="1" labelOnly="1"/>
    </format>
    <format dxfId="12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4" cacheId="1" dataOnRows="1" applyNumberFormats="0" applyBorderFormats="0" applyFontFormats="0" applyPatternFormats="0" applyAlignmentFormats="0" applyWidthHeightFormats="0" dataCaption="Typy" showMissing="1" preserveFormatting="1" itemPrintTitles="1" compactData="0" updatedVersion="2" indent="0" showMemberPropertyTips="1">
  <location ref="B3:F14" firstHeaderRow="1" firstDataRow="2" firstDataCol="1" rowPageCount="1" colPageCount="1"/>
  <pivotFields count="117">
    <pivotField showAll="0"/>
    <pivotField showAll="0" defaultSubtotal="0"/>
    <pivotField axis="axisPage" showAll="0" defaultSubtotal="0">
      <items count="8">
        <item x="0"/>
        <item x="2"/>
        <item x="1"/>
        <item x="4"/>
        <item x="3"/>
        <item m="1" x="7"/>
        <item x="6"/>
        <item x="5"/>
      </items>
    </pivotField>
    <pivotField axis="axisCol" showAll="0">
      <items count="6">
        <item m="1" x="3"/>
        <item x="0"/>
        <item m="1" x="4"/>
        <item x="1"/>
        <item x="2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 numFmtId="2"/>
    <pivotField showAl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-2"/>
  </rowFields>
  <row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rowItems>
  <colFields count="1">
    <field x="3"/>
  </colFields>
  <colItems count="4">
    <i>
      <x v="1"/>
    </i>
    <i>
      <x v="3"/>
    </i>
    <i>
      <x v="4"/>
    </i>
    <i t="grand">
      <x/>
    </i>
  </colItems>
  <pageFields count="1">
    <pageField fld="2" hier="0"/>
  </pageFields>
  <dataFields count="10">
    <dataField name="Součet z a - vertikální, látkové, 190x200" fld="30" baseField="0" baseItem="0"/>
    <dataField name="Součet z b -vertikální, látkové 190x245" fld="31" baseField="0" baseItem="0"/>
    <dataField name="Součet z c - vertikální, látkové 190x520" fld="32" baseField="0" baseItem="0"/>
    <dataField name="Součet z d - vertikální, látkové 230x255" fld="33" baseField="0" baseItem="0"/>
    <dataField name="Součet z e -  horizontální, hliníkové 170x190 " fld="34" baseField="0" baseItem="0"/>
    <dataField name="Součet z f - horizontální, hliníkové 180x210" fld="35" baseField="0" baseItem="0"/>
    <dataField name="Součet z g -horizontální, hliníkové 50x90" fld="36" baseField="0" baseItem="0"/>
    <dataField name="Součet z h - horizontální, hliníkové  180x75" fld="37" baseField="0" baseItem="0"/>
    <dataField name="Součet z ch - horizontální, hliníkové 50x70" fld="38" baseField="0" baseItem="0"/>
    <dataField name="Součet z i - horizontální, hliníkové 60x175" fld="39" baseField="0" baseItem="0"/>
  </dataFields>
  <formats count="4">
    <format dxfId="7">
      <pivotArea outline="0" fieldPosition="0" dataOnly="0" type="all"/>
    </format>
    <format dxfId="10">
      <pivotArea outline="0" fieldPosition="0" grandCol="1"/>
    </format>
    <format dxfId="9">
      <pivotArea outline="0" fieldPosition="0" dataOnly="0" grandCol="1" labelOnly="1"/>
    </format>
    <format dxfId="12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 2" cacheId="1" dataOnRows="1" applyNumberFormats="0" applyBorderFormats="0" applyFontFormats="0" applyPatternFormats="0" applyAlignmentFormats="0" applyWidthHeightFormats="0" dataCaption="Hodnoty" showMissing="1" preserveFormatting="1" useAutoFormatting="1" itemPrintTitles="1" compactData="0" updatedVersion="2" indent="0" showMemberPropertyTips="1">
  <location ref="A3:B33" firstHeaderRow="1" firstDataRow="1" firstDataCol="1" rowPageCount="1" colPageCount="1"/>
  <pivotFields count="117">
    <pivotField showAll="0"/>
    <pivotField showAll="0"/>
    <pivotField axis="axisPage" showAll="0">
      <items count="9">
        <item x="0"/>
        <item x="2"/>
        <item x="1"/>
        <item x="4"/>
        <item x="3"/>
        <item m="1" x="7"/>
        <item x="5"/>
        <item x="6"/>
        <item t="default"/>
      </items>
    </pivotField>
    <pivotField showAll="0"/>
    <pivotField showAll="0"/>
    <pivotField showAll="0" numFmtId="2"/>
    <pivotField showAll="0" numFmtId="2"/>
    <pivotField showAll="0"/>
    <pivotField showAll="0"/>
    <pivotField showAll="0"/>
    <pivotField showAll="0"/>
    <pivotField showAll="0"/>
    <pivotField showAll="0"/>
    <pivotField showAll="0"/>
    <pivotField showAll="0" numFmtId="2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-2"/>
  </rowFields>
  <rowItems count="3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</rowItems>
  <colItems count="1">
    <i/>
  </colItems>
  <pageFields count="1">
    <pageField fld="2" hier="0"/>
  </pageFields>
  <dataFields count="30">
    <dataField name="Součet z Plechové 105x45x7" fld="115" baseField="0" baseItem="0"/>
    <dataField name="Součet z Plechové 75x90x11" fld="111" baseField="0" baseItem="0"/>
    <dataField name="Součet z Plechové 75x90x7" fld="112" baseField="0" baseItem="0"/>
    <dataField name="Součet z Plechové 60x90x11" fld="110" baseField="0" baseItem="0"/>
    <dataField name="Součet z Plechové 60x60x7" fld="108" baseField="0" baseItem="0"/>
    <dataField name="Součet z Plechové 140x60x7" fld="105" baseField="0" baseItem="0"/>
    <dataField name="Součet z Plechové 105x30x11" fld="107" baseField="0" baseItem="0"/>
    <dataField name="Součet z Plechové 105x60x11" fld="95" baseField="0" baseItem="0"/>
    <dataField name="Součet z Plechové 90x60x11" fld="92" baseField="0" baseItem="0"/>
    <dataField name="Součet z Plechové 45x60x11" fld="87" baseField="0" baseItem="0"/>
    <dataField name="Součet z Plechové 160x60x7" fld="109" baseField="0" baseItem="0"/>
    <dataField name="Součet z Plechové 75x45x11" fld="104" baseField="0" baseItem="0"/>
    <dataField name="Součet z Plechové 120x60x11" fld="98" baseField="0" baseItem="0"/>
    <dataField name="Součet z Plechové 105x45x11" fld="93" baseField="0" baseItem="0"/>
    <dataField name="Součet z Plechové 45x45x7" fld="86" baseField="0" baseItem="0"/>
    <dataField name="Součet z Plechové 135x45x11" fld="106" baseField="0" baseItem="0"/>
    <dataField name="Součet z Plechové 140x60x11" fld="103" baseField="0" baseItem="0"/>
    <dataField name="Součet z Plechové 120x60x7" fld="97" baseField="0" baseItem="0"/>
    <dataField name="Součet z Plechové 75x60x7" fld="113" baseField="0" baseItem="0"/>
    <dataField name="Součet z Plechové 60x45x11" fld="102" baseField="0" baseItem="0"/>
    <dataField name="Součet z Plechové 60x60x1122" fld="88" baseField="0" baseItem="0"/>
    <dataField name="Součet z Plechové 135x60x7" fld="100" baseField="0" baseItem="0"/>
    <dataField name="Součet z Plechové 120x45x11" fld="96" baseField="0" baseItem="0"/>
    <dataField name="Součet z Plechové 90x60x7" fld="91" baseField="0" baseItem="0"/>
    <dataField name="Součet z Plechové 120x45x7" fld="101" baseField="0" baseItem="0"/>
    <dataField name="Součet z Plechové 105x60x7" fld="94" baseField="0" baseItem="0"/>
    <dataField name="Součet z Plechové 90x50x11" fld="90" baseField="0" baseItem="0"/>
    <dataField name="Součet z Plechové90x45x11" fld="89" baseField="0" baseItem="0"/>
    <dataField name="Součet z Plechové 135x45x7" fld="99" baseField="0" baseItem="0"/>
    <dataField name="Součet z Plechové 105x30x7" fld="114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ulka22" displayName="Tabulka22" ref="A1:I117" comment="" totalsRowCount="1">
  <autoFilter ref="A1:I117"/>
  <tableColumns count="9">
    <tableColumn id="1" name="Číslo místnosti"/>
    <tableColumn id="45" name="Popis místnosti" totalsRowFunction="count"/>
    <tableColumn id="8" name="Povrch (podlahová krytina)"/>
    <tableColumn id="10" name="Plocha k úklidu v m2" totalsRowFunction="sum"/>
    <tableColumn id="6" name="Kategorie"/>
    <tableColumn id="5" name="Cena za úklid m2/den v Kč bez DPH"/>
    <tableColumn id="2" name="Cena za úklid m2/měsíc v Kč bez DPH2"/>
    <tableColumn id="3" name="Cena za pravidelný měsíční úklid v Kč bez DPH"/>
    <tableColumn id="4" name="Cena za pravidelný měsíční úklid v Kč včetně DP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18"/>
  <sheetViews>
    <sheetView zoomScale="110" zoomScaleNormal="110" zoomScalePageLayoutView="0" workbookViewId="0" topLeftCell="A1">
      <pane xSplit="2" ySplit="2" topLeftCell="C1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H41" sqref="CH41"/>
    </sheetView>
  </sheetViews>
  <sheetFormatPr defaultColWidth="9.140625" defaultRowHeight="15"/>
  <cols>
    <col min="1" max="2" width="9.57421875" style="67" customWidth="1"/>
    <col min="3" max="3" width="6.00390625" style="67" customWidth="1"/>
    <col min="4" max="4" width="6.421875" style="67" customWidth="1"/>
    <col min="5" max="5" width="10.140625" style="67" customWidth="1"/>
    <col min="6" max="6" width="7.8515625" style="55" customWidth="1"/>
    <col min="7" max="7" width="7.57421875" style="55" customWidth="1"/>
    <col min="8" max="8" width="9.140625" style="67" customWidth="1"/>
    <col min="9" max="9" width="5.7109375" style="67" customWidth="1"/>
    <col min="10" max="10" width="8.28125" style="67" customWidth="1"/>
    <col min="11" max="13" width="5.7109375" style="67" customWidth="1"/>
    <col min="14" max="14" width="6.57421875" style="67" customWidth="1"/>
    <col min="15" max="15" width="8.140625" style="55" customWidth="1"/>
    <col min="16" max="16" width="9.00390625" style="67" customWidth="1"/>
    <col min="17" max="17" width="6.140625" style="67" customWidth="1"/>
    <col min="18" max="68" width="5.7109375" style="67" customWidth="1"/>
    <col min="69" max="69" width="12.00390625" style="67" customWidth="1"/>
    <col min="70" max="85" width="6.57421875" style="67" customWidth="1"/>
    <col min="86" max="86" width="7.28125" style="67" customWidth="1"/>
    <col min="87" max="88" width="9.8515625" style="67" customWidth="1"/>
    <col min="89" max="89" width="8.28125" style="59" customWidth="1"/>
    <col min="90" max="116" width="9.8515625" style="67" customWidth="1"/>
    <col min="117" max="16384" width="9.140625" style="67" customWidth="1"/>
  </cols>
  <sheetData>
    <row r="1" spans="6:116" s="66" customFormat="1" ht="30" customHeight="1">
      <c r="F1" s="64"/>
      <c r="G1" s="64"/>
      <c r="H1" s="99" t="s">
        <v>39</v>
      </c>
      <c r="I1" s="100"/>
      <c r="J1" s="99" t="s">
        <v>40</v>
      </c>
      <c r="K1" s="100"/>
      <c r="L1" s="100"/>
      <c r="M1" s="100"/>
      <c r="N1" s="100"/>
      <c r="O1" s="64"/>
      <c r="Q1" s="99" t="s">
        <v>41</v>
      </c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 t="s">
        <v>42</v>
      </c>
      <c r="AF1" s="99"/>
      <c r="AG1" s="99"/>
      <c r="AH1" s="99"/>
      <c r="AI1" s="99"/>
      <c r="AJ1" s="99"/>
      <c r="AK1" s="99"/>
      <c r="AL1" s="99"/>
      <c r="AM1" s="99"/>
      <c r="AN1" s="99"/>
      <c r="AO1" s="99" t="s">
        <v>43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R1" s="65" t="s">
        <v>276</v>
      </c>
      <c r="BS1" s="65">
        <v>2</v>
      </c>
      <c r="BT1" s="65">
        <v>3</v>
      </c>
      <c r="BU1" s="65">
        <v>4</v>
      </c>
      <c r="BV1" s="65">
        <v>5</v>
      </c>
      <c r="BW1" s="65">
        <v>6</v>
      </c>
      <c r="BX1" s="65">
        <v>7</v>
      </c>
      <c r="BY1" s="65">
        <v>8</v>
      </c>
      <c r="BZ1" s="65">
        <v>9</v>
      </c>
      <c r="CA1" s="65">
        <v>10</v>
      </c>
      <c r="CB1" s="65">
        <v>11</v>
      </c>
      <c r="CC1" s="65">
        <v>15</v>
      </c>
      <c r="CD1" s="65">
        <v>16</v>
      </c>
      <c r="CE1" s="65">
        <v>17</v>
      </c>
      <c r="CF1" s="65">
        <v>18</v>
      </c>
      <c r="CG1" s="65">
        <v>19</v>
      </c>
      <c r="CI1" s="99" t="s">
        <v>259</v>
      </c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</row>
    <row r="2" spans="1:117" s="61" customFormat="1" ht="56.25" customHeight="1">
      <c r="A2" s="61" t="s">
        <v>44</v>
      </c>
      <c r="B2" s="61" t="s">
        <v>45</v>
      </c>
      <c r="C2" s="61" t="s">
        <v>30</v>
      </c>
      <c r="D2" s="61" t="s">
        <v>0</v>
      </c>
      <c r="E2" s="61" t="s">
        <v>46</v>
      </c>
      <c r="F2" s="62" t="s">
        <v>47</v>
      </c>
      <c r="G2" s="62" t="s">
        <v>48</v>
      </c>
      <c r="H2" s="61" t="s">
        <v>49</v>
      </c>
      <c r="I2" s="61" t="s">
        <v>50</v>
      </c>
      <c r="J2" s="61" t="s">
        <v>51</v>
      </c>
      <c r="K2" s="61" t="s">
        <v>52</v>
      </c>
      <c r="L2" s="61" t="s">
        <v>53</v>
      </c>
      <c r="M2" s="61" t="s">
        <v>54</v>
      </c>
      <c r="N2" s="61" t="s">
        <v>55</v>
      </c>
      <c r="O2" s="62" t="s">
        <v>56</v>
      </c>
      <c r="P2" s="61" t="s">
        <v>57</v>
      </c>
      <c r="Q2" s="61" t="s">
        <v>58</v>
      </c>
      <c r="R2" s="61" t="s">
        <v>59</v>
      </c>
      <c r="S2" s="61" t="s">
        <v>60</v>
      </c>
      <c r="T2" s="61" t="s">
        <v>61</v>
      </c>
      <c r="U2" s="61" t="s">
        <v>62</v>
      </c>
      <c r="V2" s="61" t="s">
        <v>63</v>
      </c>
      <c r="W2" s="61" t="s">
        <v>64</v>
      </c>
      <c r="X2" s="61" t="s">
        <v>65</v>
      </c>
      <c r="Y2" s="61" t="s">
        <v>66</v>
      </c>
      <c r="Z2" s="61" t="s">
        <v>67</v>
      </c>
      <c r="AA2" s="61" t="s">
        <v>68</v>
      </c>
      <c r="AB2" s="61" t="s">
        <v>69</v>
      </c>
      <c r="AC2" s="61" t="s">
        <v>70</v>
      </c>
      <c r="AD2" s="61" t="s">
        <v>71</v>
      </c>
      <c r="AE2" s="61" t="s">
        <v>72</v>
      </c>
      <c r="AF2" s="61" t="s">
        <v>73</v>
      </c>
      <c r="AG2" s="61" t="s">
        <v>74</v>
      </c>
      <c r="AH2" s="61" t="s">
        <v>75</v>
      </c>
      <c r="AI2" s="61" t="s">
        <v>76</v>
      </c>
      <c r="AJ2" s="61" t="s">
        <v>77</v>
      </c>
      <c r="AK2" s="61" t="s">
        <v>78</v>
      </c>
      <c r="AL2" s="61" t="s">
        <v>79</v>
      </c>
      <c r="AM2" s="61" t="s">
        <v>80</v>
      </c>
      <c r="AN2" s="61" t="s">
        <v>81</v>
      </c>
      <c r="AO2" s="61" t="s">
        <v>82</v>
      </c>
      <c r="AP2" s="61" t="s">
        <v>83</v>
      </c>
      <c r="AQ2" s="61" t="s">
        <v>84</v>
      </c>
      <c r="AR2" s="61" t="s">
        <v>85</v>
      </c>
      <c r="AS2" s="61" t="s">
        <v>86</v>
      </c>
      <c r="AT2" s="61" t="s">
        <v>87</v>
      </c>
      <c r="AU2" s="61" t="s">
        <v>88</v>
      </c>
      <c r="AV2" s="61" t="s">
        <v>89</v>
      </c>
      <c r="AW2" s="61" t="s">
        <v>90</v>
      </c>
      <c r="AX2" s="61" t="s">
        <v>91</v>
      </c>
      <c r="AY2" s="61" t="s">
        <v>92</v>
      </c>
      <c r="AZ2" s="61" t="s">
        <v>93</v>
      </c>
      <c r="BA2" s="61" t="s">
        <v>94</v>
      </c>
      <c r="BB2" s="61" t="s">
        <v>95</v>
      </c>
      <c r="BC2" s="61" t="s">
        <v>96</v>
      </c>
      <c r="BD2" s="61" t="s">
        <v>97</v>
      </c>
      <c r="BE2" s="61" t="s">
        <v>98</v>
      </c>
      <c r="BF2" s="61" t="s">
        <v>99</v>
      </c>
      <c r="BG2" s="61" t="s">
        <v>100</v>
      </c>
      <c r="BH2" s="61" t="s">
        <v>101</v>
      </c>
      <c r="BI2" s="61" t="s">
        <v>102</v>
      </c>
      <c r="BJ2" s="61" t="s">
        <v>103</v>
      </c>
      <c r="BK2" s="61" t="s">
        <v>104</v>
      </c>
      <c r="BL2" s="61" t="s">
        <v>105</v>
      </c>
      <c r="BM2" s="61" t="s">
        <v>106</v>
      </c>
      <c r="BN2" s="61" t="s">
        <v>107</v>
      </c>
      <c r="BO2" s="61" t="s">
        <v>108</v>
      </c>
      <c r="BP2" s="61" t="s">
        <v>109</v>
      </c>
      <c r="BQ2" s="61" t="s">
        <v>110</v>
      </c>
      <c r="BR2" s="61" t="s">
        <v>260</v>
      </c>
      <c r="BS2" s="61" t="s">
        <v>261</v>
      </c>
      <c r="BT2" s="61" t="s">
        <v>262</v>
      </c>
      <c r="BU2" s="61" t="s">
        <v>263</v>
      </c>
      <c r="BV2" s="61" t="s">
        <v>264</v>
      </c>
      <c r="BW2" s="61" t="s">
        <v>265</v>
      </c>
      <c r="BX2" s="61" t="s">
        <v>266</v>
      </c>
      <c r="BY2" s="61" t="s">
        <v>267</v>
      </c>
      <c r="BZ2" s="61" t="s">
        <v>268</v>
      </c>
      <c r="CA2" s="61" t="s">
        <v>269</v>
      </c>
      <c r="CB2" s="61" t="s">
        <v>270</v>
      </c>
      <c r="CC2" s="61" t="s">
        <v>271</v>
      </c>
      <c r="CD2" s="61" t="s">
        <v>272</v>
      </c>
      <c r="CE2" s="61" t="s">
        <v>273</v>
      </c>
      <c r="CF2" s="61" t="s">
        <v>274</v>
      </c>
      <c r="CG2" s="61" t="s">
        <v>275</v>
      </c>
      <c r="CH2" s="61" t="s">
        <v>111</v>
      </c>
      <c r="CI2" s="61" t="s">
        <v>278</v>
      </c>
      <c r="CJ2" s="61" t="s">
        <v>279</v>
      </c>
      <c r="CK2" s="61" t="s">
        <v>277</v>
      </c>
      <c r="CL2" s="61" t="s">
        <v>280</v>
      </c>
      <c r="CM2" s="61" t="s">
        <v>281</v>
      </c>
      <c r="CN2" s="61" t="s">
        <v>282</v>
      </c>
      <c r="CO2" s="61" t="s">
        <v>283</v>
      </c>
      <c r="CP2" s="61" t="s">
        <v>284</v>
      </c>
      <c r="CQ2" s="61" t="s">
        <v>285</v>
      </c>
      <c r="CR2" s="61" t="s">
        <v>286</v>
      </c>
      <c r="CS2" s="61" t="s">
        <v>287</v>
      </c>
      <c r="CT2" s="61" t="s">
        <v>288</v>
      </c>
      <c r="CU2" s="61" t="s">
        <v>289</v>
      </c>
      <c r="CV2" s="61" t="s">
        <v>290</v>
      </c>
      <c r="CW2" s="61" t="s">
        <v>291</v>
      </c>
      <c r="CX2" s="61" t="s">
        <v>292</v>
      </c>
      <c r="CY2" s="61" t="s">
        <v>293</v>
      </c>
      <c r="CZ2" s="61" t="s">
        <v>294</v>
      </c>
      <c r="DA2" s="61" t="s">
        <v>295</v>
      </c>
      <c r="DB2" s="61" t="s">
        <v>296</v>
      </c>
      <c r="DC2" s="61" t="s">
        <v>297</v>
      </c>
      <c r="DD2" s="61" t="s">
        <v>298</v>
      </c>
      <c r="DE2" s="61" t="s">
        <v>299</v>
      </c>
      <c r="DF2" s="61" t="s">
        <v>300</v>
      </c>
      <c r="DG2" s="61" t="s">
        <v>301</v>
      </c>
      <c r="DH2" s="61" t="s">
        <v>302</v>
      </c>
      <c r="DI2" s="61" t="s">
        <v>303</v>
      </c>
      <c r="DJ2" s="61" t="s">
        <v>304</v>
      </c>
      <c r="DK2" s="61" t="s">
        <v>305</v>
      </c>
      <c r="DL2" s="61" t="s">
        <v>306</v>
      </c>
      <c r="DM2" s="63" t="s">
        <v>112</v>
      </c>
    </row>
    <row r="3" spans="1:117" s="60" customFormat="1" ht="15">
      <c r="A3" s="67">
        <v>1503</v>
      </c>
      <c r="B3" s="67" t="s">
        <v>113</v>
      </c>
      <c r="C3" s="67">
        <v>11</v>
      </c>
      <c r="D3" s="67" t="s">
        <v>1</v>
      </c>
      <c r="E3" s="67"/>
      <c r="F3" s="55">
        <v>90</v>
      </c>
      <c r="G3" s="55">
        <f>'Tabulka-přehled'!$I3+'Tabulka-přehled'!$F3</f>
        <v>90</v>
      </c>
      <c r="H3" s="67"/>
      <c r="I3" s="67"/>
      <c r="J3" s="67"/>
      <c r="K3" s="67"/>
      <c r="L3" s="67"/>
      <c r="M3" s="67"/>
      <c r="N3" s="67"/>
      <c r="O3" s="56">
        <f aca="true" t="shared" si="0" ref="O3:O34">F3+I3-N3</f>
        <v>90</v>
      </c>
      <c r="P3" s="67" t="s">
        <v>114</v>
      </c>
      <c r="Q3" s="67"/>
      <c r="R3" s="67"/>
      <c r="S3" s="67"/>
      <c r="T3" s="67"/>
      <c r="U3" s="67"/>
      <c r="V3" s="67">
        <v>26.7</v>
      </c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>
        <v>1</v>
      </c>
      <c r="BG3" s="67"/>
      <c r="BH3" s="67"/>
      <c r="BI3" s="67"/>
      <c r="BJ3" s="67"/>
      <c r="BK3" s="67"/>
      <c r="BL3" s="67"/>
      <c r="BM3" s="67"/>
      <c r="BN3" s="67"/>
      <c r="BO3" s="67"/>
      <c r="BP3" s="67">
        <v>3</v>
      </c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>
        <v>18</v>
      </c>
      <c r="CC3" s="67">
        <v>6</v>
      </c>
      <c r="CD3" s="67"/>
      <c r="CE3" s="67"/>
      <c r="CF3" s="67"/>
      <c r="CG3" s="67"/>
      <c r="CH3" s="67"/>
      <c r="CI3" s="67"/>
      <c r="CJ3" s="67"/>
      <c r="CT3" s="60">
        <v>1</v>
      </c>
      <c r="CU3" s="60">
        <v>2</v>
      </c>
      <c r="DM3" s="57" t="s">
        <v>115</v>
      </c>
    </row>
    <row r="4" spans="1:117" s="60" customFormat="1" ht="15">
      <c r="A4" s="67">
        <v>1507</v>
      </c>
      <c r="B4" s="67" t="s">
        <v>247</v>
      </c>
      <c r="C4" s="67">
        <v>11</v>
      </c>
      <c r="D4" s="67" t="s">
        <v>1</v>
      </c>
      <c r="E4" s="67"/>
      <c r="F4" s="55">
        <v>1.4</v>
      </c>
      <c r="G4" s="55">
        <f>'Tabulka-přehled'!$I4+'Tabulka-přehled'!$F4</f>
        <v>1.4</v>
      </c>
      <c r="H4" s="67"/>
      <c r="I4" s="67"/>
      <c r="J4" s="67"/>
      <c r="K4" s="67"/>
      <c r="L4" s="67"/>
      <c r="M4" s="67"/>
      <c r="N4" s="67"/>
      <c r="O4" s="56">
        <f t="shared" si="0"/>
        <v>1.4</v>
      </c>
      <c r="P4" s="67" t="s">
        <v>120</v>
      </c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>
        <v>2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DM4" s="57"/>
    </row>
    <row r="5" spans="1:117" s="60" customFormat="1" ht="15">
      <c r="A5" s="67">
        <v>1508</v>
      </c>
      <c r="B5" s="67" t="s">
        <v>247</v>
      </c>
      <c r="C5" s="67">
        <v>11</v>
      </c>
      <c r="D5" s="67" t="s">
        <v>1</v>
      </c>
      <c r="E5" s="67"/>
      <c r="F5" s="55">
        <v>1.4</v>
      </c>
      <c r="G5" s="55">
        <f>'Tabulka-přehled'!$I5+'Tabulka-přehled'!$F5</f>
        <v>1.4</v>
      </c>
      <c r="H5" s="67"/>
      <c r="I5" s="67"/>
      <c r="J5" s="67"/>
      <c r="K5" s="67"/>
      <c r="L5" s="67"/>
      <c r="M5" s="67"/>
      <c r="N5" s="67"/>
      <c r="O5" s="56">
        <f t="shared" si="0"/>
        <v>1.4</v>
      </c>
      <c r="P5" s="67" t="s">
        <v>120</v>
      </c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>
        <v>2</v>
      </c>
      <c r="CB5" s="67"/>
      <c r="CC5" s="67"/>
      <c r="CD5" s="67"/>
      <c r="CE5" s="67"/>
      <c r="CF5" s="67"/>
      <c r="CG5" s="67"/>
      <c r="CH5" s="67"/>
      <c r="CI5" s="67"/>
      <c r="CJ5" s="67"/>
      <c r="DM5" s="57"/>
    </row>
    <row r="6" spans="1:117" s="60" customFormat="1" ht="15">
      <c r="A6" s="67">
        <v>1601</v>
      </c>
      <c r="B6" s="67" t="s">
        <v>116</v>
      </c>
      <c r="C6" s="67">
        <v>11</v>
      </c>
      <c r="D6" s="67" t="s">
        <v>1</v>
      </c>
      <c r="E6" s="67"/>
      <c r="F6" s="55">
        <v>18</v>
      </c>
      <c r="G6" s="55">
        <f>'Tabulka-přehled'!$I6+'Tabulka-přehled'!$F6</f>
        <v>18</v>
      </c>
      <c r="H6" s="67"/>
      <c r="I6" s="67"/>
      <c r="J6" s="67"/>
      <c r="K6" s="67"/>
      <c r="L6" s="67"/>
      <c r="M6" s="67"/>
      <c r="N6" s="67"/>
      <c r="O6" s="56">
        <f t="shared" si="0"/>
        <v>18</v>
      </c>
      <c r="P6" s="67" t="s">
        <v>114</v>
      </c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>
        <v>1</v>
      </c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>
        <v>1</v>
      </c>
      <c r="CC6" s="67"/>
      <c r="CD6" s="67"/>
      <c r="CE6" s="67"/>
      <c r="CF6" s="67"/>
      <c r="CG6" s="67"/>
      <c r="CH6" s="67"/>
      <c r="CI6" s="67"/>
      <c r="CJ6" s="67"/>
      <c r="DI6" s="60">
        <v>1</v>
      </c>
      <c r="DM6" s="57"/>
    </row>
    <row r="7" spans="1:117" s="60" customFormat="1" ht="15">
      <c r="A7" s="67">
        <v>1602</v>
      </c>
      <c r="B7" s="67" t="s">
        <v>116</v>
      </c>
      <c r="C7" s="67">
        <v>21</v>
      </c>
      <c r="D7" s="67" t="s">
        <v>1</v>
      </c>
      <c r="E7" s="67" t="s">
        <v>193</v>
      </c>
      <c r="F7" s="55">
        <f>2*1.75+2*2+2*3.87+2*2+2*1.75</f>
        <v>22.740000000000002</v>
      </c>
      <c r="G7" s="55">
        <f>'Tabulka-přehled'!$I7+'Tabulka-přehled'!$F7</f>
        <v>22.740000000000002</v>
      </c>
      <c r="H7" s="67"/>
      <c r="I7" s="67"/>
      <c r="J7" s="67"/>
      <c r="K7" s="67"/>
      <c r="L7" s="67"/>
      <c r="M7" s="67"/>
      <c r="N7" s="67">
        <f>(K7*0.376)+(L7*0.48)+M7</f>
        <v>0</v>
      </c>
      <c r="O7" s="56">
        <f t="shared" si="0"/>
        <v>22.740000000000002</v>
      </c>
      <c r="P7" s="67" t="s">
        <v>114</v>
      </c>
      <c r="Q7" s="67"/>
      <c r="R7" s="67"/>
      <c r="S7" s="67"/>
      <c r="T7" s="67"/>
      <c r="U7" s="67"/>
      <c r="V7" s="67">
        <v>16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>
        <v>1</v>
      </c>
      <c r="CC7" s="67"/>
      <c r="CD7" s="67"/>
      <c r="CE7" s="67"/>
      <c r="CF7" s="67"/>
      <c r="CG7" s="67"/>
      <c r="CH7" s="67"/>
      <c r="CI7" s="67"/>
      <c r="CJ7" s="67"/>
      <c r="DM7" s="57" t="s">
        <v>194</v>
      </c>
    </row>
    <row r="8" spans="1:117" s="60" customFormat="1" ht="15">
      <c r="A8" s="67">
        <v>1603</v>
      </c>
      <c r="B8" s="67" t="s">
        <v>116</v>
      </c>
      <c r="C8" s="67">
        <v>11</v>
      </c>
      <c r="D8" s="67" t="s">
        <v>1</v>
      </c>
      <c r="E8" s="67"/>
      <c r="F8" s="55">
        <v>14.2</v>
      </c>
      <c r="G8" s="55">
        <f>'Tabulka-přehled'!$I8+'Tabulka-přehled'!$F8</f>
        <v>14.2</v>
      </c>
      <c r="H8" s="67"/>
      <c r="I8" s="67"/>
      <c r="J8" s="67"/>
      <c r="K8" s="67"/>
      <c r="L8" s="67"/>
      <c r="M8" s="67"/>
      <c r="N8" s="67"/>
      <c r="O8" s="56">
        <f t="shared" si="0"/>
        <v>14.2</v>
      </c>
      <c r="P8" s="67" t="s">
        <v>114</v>
      </c>
      <c r="Q8" s="67"/>
      <c r="R8" s="67"/>
      <c r="S8" s="67"/>
      <c r="T8" s="67"/>
      <c r="U8" s="67"/>
      <c r="V8" s="67">
        <v>15.9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>
        <v>6</v>
      </c>
      <c r="BO8" s="67">
        <v>1</v>
      </c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>
        <v>1</v>
      </c>
      <c r="CC8" s="67"/>
      <c r="CD8" s="67"/>
      <c r="CE8" s="67"/>
      <c r="CF8" s="67"/>
      <c r="CG8" s="67"/>
      <c r="CH8" s="67"/>
      <c r="CI8" s="67"/>
      <c r="CJ8" s="67"/>
      <c r="DM8" s="57" t="s">
        <v>115</v>
      </c>
    </row>
    <row r="9" spans="1:117" s="60" customFormat="1" ht="15">
      <c r="A9" s="67">
        <v>2010</v>
      </c>
      <c r="B9" s="67" t="s">
        <v>117</v>
      </c>
      <c r="C9" s="67">
        <v>21</v>
      </c>
      <c r="D9" s="67" t="s">
        <v>1</v>
      </c>
      <c r="E9" s="67" t="s">
        <v>118</v>
      </c>
      <c r="F9" s="55">
        <v>12.9</v>
      </c>
      <c r="G9" s="55">
        <f>'Tabulka-přehled'!$I9+'Tabulka-přehled'!$F9</f>
        <v>12.9</v>
      </c>
      <c r="H9" s="67"/>
      <c r="I9" s="67"/>
      <c r="J9" s="67" t="s">
        <v>119</v>
      </c>
      <c r="K9" s="67"/>
      <c r="L9" s="67"/>
      <c r="M9" s="67">
        <v>1.7</v>
      </c>
      <c r="N9" s="67">
        <f aca="true" t="shared" si="1" ref="N9:N55">(K9*0.376)+(L9*0.48)+M9</f>
        <v>1.7</v>
      </c>
      <c r="O9" s="55">
        <f t="shared" si="0"/>
        <v>11.200000000000001</v>
      </c>
      <c r="P9" s="67" t="s">
        <v>120</v>
      </c>
      <c r="Q9" s="67"/>
      <c r="R9" s="67">
        <v>1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>
        <v>3</v>
      </c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>
        <v>1</v>
      </c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>
        <v>1</v>
      </c>
      <c r="CC9" s="67"/>
      <c r="CD9" s="67"/>
      <c r="CE9" s="67"/>
      <c r="CF9" s="67"/>
      <c r="CG9" s="67"/>
      <c r="CH9" s="67"/>
      <c r="CI9" s="67"/>
      <c r="CJ9" s="67"/>
      <c r="CR9" s="60">
        <v>1</v>
      </c>
      <c r="DM9" s="58"/>
    </row>
    <row r="10" spans="1:117" s="60" customFormat="1" ht="15">
      <c r="A10" s="67">
        <v>2020</v>
      </c>
      <c r="B10" s="67" t="s">
        <v>121</v>
      </c>
      <c r="C10" s="67">
        <v>21</v>
      </c>
      <c r="D10" s="67" t="s">
        <v>1</v>
      </c>
      <c r="E10" s="67" t="s">
        <v>122</v>
      </c>
      <c r="F10" s="55">
        <v>28.7</v>
      </c>
      <c r="G10" s="55">
        <f>'Tabulka-přehled'!$I10+'Tabulka-přehled'!$F10</f>
        <v>28.7</v>
      </c>
      <c r="H10" s="67"/>
      <c r="I10" s="67"/>
      <c r="J10" s="67"/>
      <c r="K10" s="67"/>
      <c r="L10" s="67"/>
      <c r="M10" s="67"/>
      <c r="N10" s="67">
        <f t="shared" si="1"/>
        <v>0</v>
      </c>
      <c r="O10" s="55">
        <f t="shared" si="0"/>
        <v>28.7</v>
      </c>
      <c r="P10" s="67" t="s">
        <v>123</v>
      </c>
      <c r="Q10" s="67">
        <v>2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>
        <v>2</v>
      </c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>
        <v>14</v>
      </c>
      <c r="CC10" s="67"/>
      <c r="CD10" s="67"/>
      <c r="CE10" s="67"/>
      <c r="CF10" s="67"/>
      <c r="CG10" s="67"/>
      <c r="CH10" s="67"/>
      <c r="CI10" s="67"/>
      <c r="CJ10" s="67"/>
      <c r="CM10" s="60">
        <v>2</v>
      </c>
      <c r="DM10" s="59"/>
    </row>
    <row r="11" spans="1:117" s="60" customFormat="1" ht="15">
      <c r="A11" s="67">
        <v>2030</v>
      </c>
      <c r="B11" s="67" t="s">
        <v>124</v>
      </c>
      <c r="C11" s="67">
        <v>21</v>
      </c>
      <c r="D11" s="67" t="s">
        <v>1</v>
      </c>
      <c r="E11" s="67" t="s">
        <v>125</v>
      </c>
      <c r="F11" s="55">
        <v>24.5</v>
      </c>
      <c r="G11" s="55">
        <f>'Tabulka-přehled'!$I11+'Tabulka-přehled'!$F11</f>
        <v>24.9</v>
      </c>
      <c r="H11" s="67" t="s">
        <v>126</v>
      </c>
      <c r="I11" s="67">
        <v>0.4</v>
      </c>
      <c r="J11" s="67" t="s">
        <v>127</v>
      </c>
      <c r="K11" s="67">
        <v>6</v>
      </c>
      <c r="L11" s="67"/>
      <c r="M11" s="67"/>
      <c r="N11" s="67">
        <f t="shared" si="1"/>
        <v>2.2560000000000002</v>
      </c>
      <c r="O11" s="55">
        <f t="shared" si="0"/>
        <v>22.644</v>
      </c>
      <c r="P11" s="67" t="s">
        <v>123</v>
      </c>
      <c r="Q11" s="67">
        <v>2</v>
      </c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>
        <v>2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>
        <v>2</v>
      </c>
      <c r="AP11" s="67">
        <v>1</v>
      </c>
      <c r="AQ11" s="67"/>
      <c r="AR11" s="67"/>
      <c r="AS11" s="67" t="s">
        <v>128</v>
      </c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>
        <v>9</v>
      </c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>
        <v>1</v>
      </c>
      <c r="CI11" s="67"/>
      <c r="CJ11" s="67"/>
      <c r="CM11" s="60">
        <v>2</v>
      </c>
      <c r="DM11" s="59"/>
    </row>
    <row r="12" spans="1:117" s="60" customFormat="1" ht="15">
      <c r="A12" s="67">
        <v>2040</v>
      </c>
      <c r="B12" s="67" t="s">
        <v>129</v>
      </c>
      <c r="C12" s="67">
        <v>21</v>
      </c>
      <c r="D12" s="67" t="s">
        <v>1</v>
      </c>
      <c r="E12" s="67" t="s">
        <v>130</v>
      </c>
      <c r="F12" s="55">
        <v>26.4</v>
      </c>
      <c r="G12" s="55">
        <f>'Tabulka-přehled'!$I12+'Tabulka-přehled'!$F12</f>
        <v>26.799999999999997</v>
      </c>
      <c r="H12" s="67" t="s">
        <v>126</v>
      </c>
      <c r="I12" s="67">
        <v>0.4</v>
      </c>
      <c r="J12" s="67" t="s">
        <v>127</v>
      </c>
      <c r="K12" s="67">
        <v>3</v>
      </c>
      <c r="L12" s="67"/>
      <c r="M12" s="67"/>
      <c r="N12" s="67">
        <f t="shared" si="1"/>
        <v>1.1280000000000001</v>
      </c>
      <c r="O12" s="55">
        <f t="shared" si="0"/>
        <v>25.671999999999997</v>
      </c>
      <c r="P12" s="67" t="s">
        <v>123</v>
      </c>
      <c r="Q12" s="67">
        <v>2</v>
      </c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>
        <v>2</v>
      </c>
      <c r="AH12" s="67"/>
      <c r="AI12" s="67"/>
      <c r="AJ12" s="67"/>
      <c r="AK12" s="67"/>
      <c r="AL12" s="67"/>
      <c r="AM12" s="67"/>
      <c r="AN12" s="67"/>
      <c r="AO12" s="67"/>
      <c r="AP12" s="67">
        <v>1</v>
      </c>
      <c r="AQ12" s="67"/>
      <c r="AR12" s="67"/>
      <c r="AS12" s="67"/>
      <c r="AT12" s="67"/>
      <c r="AU12" s="67"/>
      <c r="AV12" s="67">
        <v>1</v>
      </c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>
        <v>15</v>
      </c>
      <c r="CC12" s="67"/>
      <c r="CD12" s="67"/>
      <c r="CE12" s="67"/>
      <c r="CF12" s="67"/>
      <c r="CG12" s="67"/>
      <c r="CH12" s="67"/>
      <c r="CI12" s="67"/>
      <c r="CJ12" s="67"/>
      <c r="CM12" s="60">
        <v>2</v>
      </c>
      <c r="DM12" s="58"/>
    </row>
    <row r="13" spans="1:117" s="60" customFormat="1" ht="15">
      <c r="A13" s="67">
        <v>2050</v>
      </c>
      <c r="B13" s="67" t="s">
        <v>131</v>
      </c>
      <c r="C13" s="67">
        <v>21</v>
      </c>
      <c r="D13" s="67" t="s">
        <v>1</v>
      </c>
      <c r="E13" s="67" t="s">
        <v>132</v>
      </c>
      <c r="F13" s="55">
        <v>14.4</v>
      </c>
      <c r="G13" s="55">
        <f>'Tabulka-přehled'!$I13+'Tabulka-přehled'!$F13</f>
        <v>14.8</v>
      </c>
      <c r="H13" s="67" t="s">
        <v>126</v>
      </c>
      <c r="I13" s="67">
        <v>0.4</v>
      </c>
      <c r="J13" s="67" t="s">
        <v>127</v>
      </c>
      <c r="K13" s="67">
        <v>3</v>
      </c>
      <c r="L13" s="67">
        <v>1</v>
      </c>
      <c r="M13" s="67"/>
      <c r="N13" s="67">
        <f t="shared" si="1"/>
        <v>1.608</v>
      </c>
      <c r="O13" s="55">
        <f t="shared" si="0"/>
        <v>13.192</v>
      </c>
      <c r="P13" s="67" t="s">
        <v>123</v>
      </c>
      <c r="Q13" s="67"/>
      <c r="R13" s="67">
        <v>1</v>
      </c>
      <c r="S13" s="67"/>
      <c r="T13" s="67"/>
      <c r="U13" s="67" t="s">
        <v>128</v>
      </c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>
        <v>3</v>
      </c>
      <c r="AL13" s="67"/>
      <c r="AM13" s="67"/>
      <c r="AN13" s="67"/>
      <c r="AO13" s="67"/>
      <c r="AP13" s="67"/>
      <c r="AQ13" s="67">
        <v>1</v>
      </c>
      <c r="AR13" s="67"/>
      <c r="AS13" s="67"/>
      <c r="AT13" s="67"/>
      <c r="AU13" s="67"/>
      <c r="AV13" s="67">
        <v>1</v>
      </c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>
        <v>2</v>
      </c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L13" s="60">
        <v>1</v>
      </c>
      <c r="DM13" s="59"/>
    </row>
    <row r="14" spans="1:117" s="60" customFormat="1" ht="15">
      <c r="A14" s="67">
        <v>2060</v>
      </c>
      <c r="B14" s="67" t="s">
        <v>131</v>
      </c>
      <c r="C14" s="67">
        <v>21</v>
      </c>
      <c r="D14" s="67" t="s">
        <v>1</v>
      </c>
      <c r="E14" s="67" t="s">
        <v>133</v>
      </c>
      <c r="F14" s="55">
        <v>13.2</v>
      </c>
      <c r="G14" s="55">
        <f>'Tabulka-přehled'!$I14+'Tabulka-přehled'!$F14</f>
        <v>13.6</v>
      </c>
      <c r="H14" s="67" t="s">
        <v>126</v>
      </c>
      <c r="I14" s="67">
        <v>0.4</v>
      </c>
      <c r="J14" s="67" t="s">
        <v>127</v>
      </c>
      <c r="K14" s="67">
        <v>6</v>
      </c>
      <c r="L14" s="67"/>
      <c r="M14" s="67"/>
      <c r="N14" s="67">
        <f t="shared" si="1"/>
        <v>2.2560000000000002</v>
      </c>
      <c r="O14" s="55">
        <f t="shared" si="0"/>
        <v>11.344</v>
      </c>
      <c r="P14" s="67" t="s">
        <v>123</v>
      </c>
      <c r="Q14" s="67"/>
      <c r="R14" s="67">
        <v>1</v>
      </c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>
        <v>3</v>
      </c>
      <c r="AL14" s="67"/>
      <c r="AM14" s="67"/>
      <c r="AN14" s="67"/>
      <c r="AO14" s="67"/>
      <c r="AP14" s="67"/>
      <c r="AQ14" s="67">
        <v>1</v>
      </c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>
        <v>2</v>
      </c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L14" s="60">
        <v>1</v>
      </c>
      <c r="DM14" s="59"/>
    </row>
    <row r="15" spans="1:117" s="60" customFormat="1" ht="15">
      <c r="A15" s="67">
        <v>2070</v>
      </c>
      <c r="B15" s="67" t="s">
        <v>131</v>
      </c>
      <c r="C15" s="67">
        <v>21</v>
      </c>
      <c r="D15" s="67" t="s">
        <v>1</v>
      </c>
      <c r="E15" s="67" t="s">
        <v>134</v>
      </c>
      <c r="F15" s="55">
        <v>13.2</v>
      </c>
      <c r="G15" s="55">
        <f>'Tabulka-přehled'!$I15+'Tabulka-přehled'!$F15</f>
        <v>13.6</v>
      </c>
      <c r="H15" s="67" t="s">
        <v>126</v>
      </c>
      <c r="I15" s="67">
        <v>0.4</v>
      </c>
      <c r="J15" s="67" t="s">
        <v>127</v>
      </c>
      <c r="K15" s="67">
        <v>5</v>
      </c>
      <c r="L15" s="67"/>
      <c r="M15" s="67"/>
      <c r="N15" s="67">
        <f t="shared" si="1"/>
        <v>1.88</v>
      </c>
      <c r="O15" s="55">
        <f t="shared" si="0"/>
        <v>11.719999999999999</v>
      </c>
      <c r="P15" s="67" t="s">
        <v>123</v>
      </c>
      <c r="Q15" s="67"/>
      <c r="R15" s="67">
        <v>1</v>
      </c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>
        <v>3</v>
      </c>
      <c r="AL15" s="67"/>
      <c r="AM15" s="67"/>
      <c r="AN15" s="67"/>
      <c r="AO15" s="67"/>
      <c r="AP15" s="67"/>
      <c r="AQ15" s="67">
        <v>1</v>
      </c>
      <c r="AR15" s="67"/>
      <c r="AS15" s="67"/>
      <c r="AT15" s="67"/>
      <c r="AU15" s="67"/>
      <c r="AV15" s="67">
        <v>1</v>
      </c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>
        <v>1</v>
      </c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L15" s="60">
        <v>1</v>
      </c>
      <c r="DM15" s="59"/>
    </row>
    <row r="16" spans="1:117" s="60" customFormat="1" ht="15">
      <c r="A16" s="67">
        <v>2080</v>
      </c>
      <c r="B16" s="67" t="s">
        <v>131</v>
      </c>
      <c r="C16" s="67">
        <v>21</v>
      </c>
      <c r="D16" s="67" t="s">
        <v>1</v>
      </c>
      <c r="E16" s="67" t="s">
        <v>135</v>
      </c>
      <c r="F16" s="55">
        <v>13.5</v>
      </c>
      <c r="G16" s="55">
        <f>'Tabulka-přehled'!$I16+'Tabulka-přehled'!$F16</f>
        <v>13.9</v>
      </c>
      <c r="H16" s="67" t="s">
        <v>126</v>
      </c>
      <c r="I16" s="67">
        <v>0.4</v>
      </c>
      <c r="J16" s="67" t="s">
        <v>127</v>
      </c>
      <c r="K16" s="67">
        <v>5</v>
      </c>
      <c r="L16" s="67"/>
      <c r="M16" s="67"/>
      <c r="N16" s="67">
        <f t="shared" si="1"/>
        <v>1.88</v>
      </c>
      <c r="O16" s="55">
        <f t="shared" si="0"/>
        <v>12.02</v>
      </c>
      <c r="P16" s="67" t="s">
        <v>123</v>
      </c>
      <c r="Q16" s="67"/>
      <c r="R16" s="67">
        <v>1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>
        <v>3</v>
      </c>
      <c r="AL16" s="67"/>
      <c r="AM16" s="67"/>
      <c r="AN16" s="67"/>
      <c r="AO16" s="67"/>
      <c r="AP16" s="67"/>
      <c r="AQ16" s="67">
        <v>1</v>
      </c>
      <c r="AR16" s="67"/>
      <c r="AS16" s="67"/>
      <c r="AT16" s="67"/>
      <c r="AU16" s="67"/>
      <c r="AV16" s="67">
        <v>1</v>
      </c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>
        <v>1</v>
      </c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L16" s="60">
        <v>1</v>
      </c>
      <c r="DM16" s="59"/>
    </row>
    <row r="17" spans="1:117" ht="15">
      <c r="A17" s="67">
        <v>2090</v>
      </c>
      <c r="B17" s="67" t="s">
        <v>131</v>
      </c>
      <c r="C17" s="67">
        <v>21</v>
      </c>
      <c r="D17" s="67" t="s">
        <v>1</v>
      </c>
      <c r="E17" s="67" t="s">
        <v>136</v>
      </c>
      <c r="F17" s="55">
        <v>14.7</v>
      </c>
      <c r="G17" s="55">
        <f>'Tabulka-přehled'!$I17+'Tabulka-přehled'!$F17</f>
        <v>15.1</v>
      </c>
      <c r="H17" s="67" t="s">
        <v>126</v>
      </c>
      <c r="I17" s="67">
        <v>0.4</v>
      </c>
      <c r="N17" s="67">
        <f t="shared" si="1"/>
        <v>0</v>
      </c>
      <c r="O17" s="55">
        <f t="shared" si="0"/>
        <v>15.1</v>
      </c>
      <c r="P17" s="67" t="s">
        <v>123</v>
      </c>
      <c r="R17" s="67">
        <v>1</v>
      </c>
      <c r="AK17" s="67">
        <v>3</v>
      </c>
      <c r="AQ17" s="67">
        <v>1</v>
      </c>
      <c r="BT17" s="67">
        <v>1</v>
      </c>
      <c r="CK17" s="60"/>
      <c r="CL17" s="67">
        <v>1</v>
      </c>
      <c r="DM17" s="59"/>
    </row>
    <row r="18" spans="1:117" ht="15">
      <c r="A18" s="67">
        <v>2100</v>
      </c>
      <c r="B18" s="67" t="s">
        <v>131</v>
      </c>
      <c r="C18" s="67">
        <v>21</v>
      </c>
      <c r="D18" s="67" t="s">
        <v>1</v>
      </c>
      <c r="E18" s="67" t="s">
        <v>137</v>
      </c>
      <c r="F18" s="55">
        <f>5*3.15</f>
        <v>15.75</v>
      </c>
      <c r="G18" s="55">
        <f>'Tabulka-přehled'!$I18+'Tabulka-přehled'!$F18</f>
        <v>16.15</v>
      </c>
      <c r="H18" s="67" t="s">
        <v>126</v>
      </c>
      <c r="I18" s="67">
        <v>0.4</v>
      </c>
      <c r="N18" s="67">
        <f t="shared" si="1"/>
        <v>0</v>
      </c>
      <c r="O18" s="55">
        <f t="shared" si="0"/>
        <v>16.15</v>
      </c>
      <c r="P18" s="67" t="s">
        <v>123</v>
      </c>
      <c r="R18" s="67">
        <v>1</v>
      </c>
      <c r="AK18" s="67">
        <v>3</v>
      </c>
      <c r="AQ18" s="67">
        <v>1</v>
      </c>
      <c r="AV18" s="67">
        <v>1</v>
      </c>
      <c r="BT18" s="67">
        <v>1</v>
      </c>
      <c r="CK18" s="67"/>
      <c r="CL18" s="67">
        <v>1</v>
      </c>
      <c r="DM18" s="59"/>
    </row>
    <row r="19" spans="1:117" ht="15">
      <c r="A19" s="67">
        <v>2110</v>
      </c>
      <c r="B19" s="68" t="s">
        <v>139</v>
      </c>
      <c r="C19" s="67">
        <v>21</v>
      </c>
      <c r="D19" s="67" t="s">
        <v>2</v>
      </c>
      <c r="E19" s="67" t="s">
        <v>138</v>
      </c>
      <c r="F19" s="55">
        <f>5*2.1</f>
        <v>10.5</v>
      </c>
      <c r="G19" s="55">
        <f>'Tabulka-přehled'!$I19+'Tabulka-přehled'!$F19</f>
        <v>10.5</v>
      </c>
      <c r="N19" s="67">
        <f t="shared" si="1"/>
        <v>0</v>
      </c>
      <c r="O19" s="55">
        <f t="shared" si="0"/>
        <v>10.5</v>
      </c>
      <c r="P19" s="68" t="s">
        <v>120</v>
      </c>
      <c r="R19" s="67">
        <v>1</v>
      </c>
      <c r="AK19" s="67">
        <v>3</v>
      </c>
      <c r="BT19" s="67">
        <v>1</v>
      </c>
      <c r="CK19" s="67"/>
      <c r="DL19" s="67">
        <v>1</v>
      </c>
      <c r="DM19" s="59"/>
    </row>
    <row r="20" spans="1:117" ht="15">
      <c r="A20" s="67">
        <v>2120</v>
      </c>
      <c r="B20" s="67" t="s">
        <v>139</v>
      </c>
      <c r="C20" s="67">
        <v>21</v>
      </c>
      <c r="D20" s="67" t="s">
        <v>2</v>
      </c>
      <c r="E20" s="67" t="s">
        <v>140</v>
      </c>
      <c r="F20" s="55">
        <v>13.4</v>
      </c>
      <c r="G20" s="55">
        <f>'Tabulka-přehled'!$I20+'Tabulka-přehled'!$F20</f>
        <v>13.4</v>
      </c>
      <c r="J20" s="67" t="s">
        <v>127</v>
      </c>
      <c r="K20" s="67">
        <v>3</v>
      </c>
      <c r="N20" s="67">
        <f t="shared" si="1"/>
        <v>1.1280000000000001</v>
      </c>
      <c r="O20" s="55">
        <f t="shared" si="0"/>
        <v>12.272</v>
      </c>
      <c r="P20" s="67" t="s">
        <v>120</v>
      </c>
      <c r="R20" s="67">
        <v>1</v>
      </c>
      <c r="AK20" s="67">
        <v>3</v>
      </c>
      <c r="AR20" s="67">
        <v>1</v>
      </c>
      <c r="BS20" s="67">
        <v>1</v>
      </c>
      <c r="CK20" s="67"/>
      <c r="CL20" s="67">
        <v>1</v>
      </c>
      <c r="DM20" s="59"/>
    </row>
    <row r="21" spans="1:117" ht="15">
      <c r="A21" s="67">
        <v>2130</v>
      </c>
      <c r="B21" s="67" t="s">
        <v>131</v>
      </c>
      <c r="C21" s="67">
        <v>21</v>
      </c>
      <c r="D21" s="67" t="s">
        <v>1</v>
      </c>
      <c r="E21" s="67" t="s">
        <v>141</v>
      </c>
      <c r="F21" s="55">
        <v>13.2</v>
      </c>
      <c r="G21" s="55">
        <f>'Tabulka-přehled'!$I21+'Tabulka-přehled'!$F21</f>
        <v>13.6</v>
      </c>
      <c r="H21" s="67" t="s">
        <v>126</v>
      </c>
      <c r="I21" s="67">
        <v>0.4</v>
      </c>
      <c r="J21" s="67" t="s">
        <v>127</v>
      </c>
      <c r="K21" s="67">
        <v>3</v>
      </c>
      <c r="L21" s="67">
        <v>1</v>
      </c>
      <c r="N21" s="67">
        <f t="shared" si="1"/>
        <v>1.608</v>
      </c>
      <c r="O21" s="55">
        <f t="shared" si="0"/>
        <v>11.991999999999999</v>
      </c>
      <c r="P21" s="67" t="s">
        <v>123</v>
      </c>
      <c r="R21" s="67">
        <v>1</v>
      </c>
      <c r="AK21" s="67">
        <v>3</v>
      </c>
      <c r="AP21" s="67">
        <v>1</v>
      </c>
      <c r="BS21" s="67">
        <v>2</v>
      </c>
      <c r="CK21" s="67"/>
      <c r="CS21" s="67">
        <v>1</v>
      </c>
      <c r="DM21" s="59"/>
    </row>
    <row r="22" spans="1:117" ht="15">
      <c r="A22" s="67">
        <v>2140</v>
      </c>
      <c r="B22" s="67" t="s">
        <v>131</v>
      </c>
      <c r="C22" s="67">
        <v>21</v>
      </c>
      <c r="D22" s="67" t="s">
        <v>1</v>
      </c>
      <c r="E22" s="67" t="s">
        <v>142</v>
      </c>
      <c r="F22" s="55">
        <v>14</v>
      </c>
      <c r="G22" s="55">
        <f>'Tabulka-přehled'!$I22+'Tabulka-přehled'!$F22</f>
        <v>15</v>
      </c>
      <c r="H22" s="67" t="s">
        <v>126</v>
      </c>
      <c r="I22" s="67">
        <v>1</v>
      </c>
      <c r="J22" s="67" t="s">
        <v>127</v>
      </c>
      <c r="K22" s="67">
        <v>6</v>
      </c>
      <c r="N22" s="67">
        <f t="shared" si="1"/>
        <v>2.2560000000000002</v>
      </c>
      <c r="O22" s="55">
        <f t="shared" si="0"/>
        <v>12.744</v>
      </c>
      <c r="P22" s="67" t="s">
        <v>123</v>
      </c>
      <c r="R22" s="67">
        <v>1</v>
      </c>
      <c r="AK22" s="67">
        <v>3</v>
      </c>
      <c r="AQ22" s="67">
        <v>1</v>
      </c>
      <c r="AT22" s="67">
        <v>1</v>
      </c>
      <c r="BS22" s="67">
        <v>2</v>
      </c>
      <c r="CK22" s="67"/>
      <c r="CS22" s="67">
        <v>1</v>
      </c>
      <c r="DM22" s="59"/>
    </row>
    <row r="23" spans="1:117" ht="15">
      <c r="A23" s="67">
        <v>2150</v>
      </c>
      <c r="B23" s="67" t="s">
        <v>131</v>
      </c>
      <c r="C23" s="67">
        <v>21</v>
      </c>
      <c r="D23" s="67" t="s">
        <v>1</v>
      </c>
      <c r="E23" s="67" t="s">
        <v>143</v>
      </c>
      <c r="F23" s="55">
        <v>11.9</v>
      </c>
      <c r="G23" s="55">
        <f>'Tabulka-přehled'!$I23+'Tabulka-přehled'!$F23</f>
        <v>12.9</v>
      </c>
      <c r="H23" s="67" t="s">
        <v>126</v>
      </c>
      <c r="I23" s="67">
        <v>1</v>
      </c>
      <c r="J23" s="67" t="s">
        <v>127</v>
      </c>
      <c r="K23" s="67">
        <v>5</v>
      </c>
      <c r="L23" s="67">
        <v>1</v>
      </c>
      <c r="N23" s="67">
        <f t="shared" si="1"/>
        <v>2.36</v>
      </c>
      <c r="O23" s="55">
        <f t="shared" si="0"/>
        <v>10.540000000000001</v>
      </c>
      <c r="P23" s="67" t="s">
        <v>123</v>
      </c>
      <c r="R23" s="67">
        <v>1</v>
      </c>
      <c r="AK23" s="67">
        <v>3</v>
      </c>
      <c r="AQ23" s="67">
        <v>1</v>
      </c>
      <c r="BT23" s="67">
        <v>1</v>
      </c>
      <c r="CK23" s="67"/>
      <c r="CS23" s="67">
        <v>1</v>
      </c>
      <c r="DM23" s="59"/>
    </row>
    <row r="24" spans="1:117" ht="15">
      <c r="A24" s="67">
        <v>2160</v>
      </c>
      <c r="B24" s="67" t="s">
        <v>131</v>
      </c>
      <c r="C24" s="67">
        <v>21</v>
      </c>
      <c r="D24" s="67" t="s">
        <v>1</v>
      </c>
      <c r="E24" s="67" t="s">
        <v>144</v>
      </c>
      <c r="F24" s="55">
        <v>14</v>
      </c>
      <c r="G24" s="55">
        <f>'Tabulka-přehled'!$I24+'Tabulka-přehled'!$F24</f>
        <v>15</v>
      </c>
      <c r="H24" s="67" t="s">
        <v>126</v>
      </c>
      <c r="I24" s="67">
        <v>1</v>
      </c>
      <c r="J24" s="67" t="s">
        <v>127</v>
      </c>
      <c r="K24" s="67">
        <v>6</v>
      </c>
      <c r="L24" s="67">
        <v>1</v>
      </c>
      <c r="N24" s="67">
        <f t="shared" si="1"/>
        <v>2.736</v>
      </c>
      <c r="O24" s="55">
        <f t="shared" si="0"/>
        <v>12.264</v>
      </c>
      <c r="P24" s="67" t="s">
        <v>123</v>
      </c>
      <c r="R24" s="67">
        <v>1</v>
      </c>
      <c r="AK24" s="67">
        <v>3</v>
      </c>
      <c r="AQ24" s="67">
        <v>1</v>
      </c>
      <c r="BS24" s="67">
        <v>3</v>
      </c>
      <c r="CK24" s="67"/>
      <c r="CS24" s="67">
        <v>1</v>
      </c>
      <c r="DM24" s="59"/>
    </row>
    <row r="25" spans="1:117" ht="15">
      <c r="A25" s="67">
        <v>2170</v>
      </c>
      <c r="B25" s="67" t="s">
        <v>131</v>
      </c>
      <c r="C25" s="67">
        <v>21</v>
      </c>
      <c r="D25" s="67" t="s">
        <v>1</v>
      </c>
      <c r="E25" s="67" t="s">
        <v>145</v>
      </c>
      <c r="F25" s="55">
        <v>13.6</v>
      </c>
      <c r="G25" s="55">
        <f>'Tabulka-přehled'!$I25+'Tabulka-přehled'!$F25</f>
        <v>14.6</v>
      </c>
      <c r="H25" s="67" t="s">
        <v>126</v>
      </c>
      <c r="I25" s="67">
        <v>1</v>
      </c>
      <c r="J25" s="67" t="s">
        <v>127</v>
      </c>
      <c r="K25" s="67">
        <v>7</v>
      </c>
      <c r="N25" s="67">
        <f t="shared" si="1"/>
        <v>2.632</v>
      </c>
      <c r="O25" s="55">
        <f t="shared" si="0"/>
        <v>11.968</v>
      </c>
      <c r="P25" s="67" t="s">
        <v>123</v>
      </c>
      <c r="R25" s="67">
        <v>1</v>
      </c>
      <c r="AK25" s="67">
        <v>3</v>
      </c>
      <c r="AP25" s="67">
        <v>1</v>
      </c>
      <c r="AS25" s="67">
        <v>1</v>
      </c>
      <c r="BU25" s="67">
        <v>2</v>
      </c>
      <c r="CK25" s="67"/>
      <c r="CS25" s="67">
        <v>1</v>
      </c>
      <c r="DM25" s="59"/>
    </row>
    <row r="26" spans="1:117" ht="15">
      <c r="A26" s="67">
        <v>2180</v>
      </c>
      <c r="B26" s="67" t="s">
        <v>131</v>
      </c>
      <c r="C26" s="67">
        <v>21</v>
      </c>
      <c r="D26" s="67" t="s">
        <v>1</v>
      </c>
      <c r="E26" s="67" t="s">
        <v>146</v>
      </c>
      <c r="F26" s="55">
        <f>5.2*2.5</f>
        <v>13</v>
      </c>
      <c r="G26" s="55">
        <f>'Tabulka-přehled'!$I26+'Tabulka-přehled'!$F26</f>
        <v>14</v>
      </c>
      <c r="H26" s="67" t="s">
        <v>126</v>
      </c>
      <c r="I26" s="67">
        <v>1</v>
      </c>
      <c r="N26" s="67">
        <f t="shared" si="1"/>
        <v>0</v>
      </c>
      <c r="O26" s="55">
        <f t="shared" si="0"/>
        <v>14</v>
      </c>
      <c r="P26" s="67" t="s">
        <v>123</v>
      </c>
      <c r="R26" s="67">
        <v>1</v>
      </c>
      <c r="AK26" s="67">
        <v>3</v>
      </c>
      <c r="AP26" s="67">
        <v>1</v>
      </c>
      <c r="BU26" s="67">
        <v>2</v>
      </c>
      <c r="CK26" s="67"/>
      <c r="CX26" s="67">
        <v>1</v>
      </c>
      <c r="DM26" s="59"/>
    </row>
    <row r="27" spans="1:117" ht="15">
      <c r="A27" s="67">
        <v>2190</v>
      </c>
      <c r="B27" s="67" t="s">
        <v>147</v>
      </c>
      <c r="C27" s="67">
        <v>21</v>
      </c>
      <c r="D27" s="67" t="s">
        <v>1</v>
      </c>
      <c r="E27" s="67" t="s">
        <v>148</v>
      </c>
      <c r="F27" s="55">
        <f>2.4*5</f>
        <v>12</v>
      </c>
      <c r="G27" s="55">
        <f>'Tabulka-přehled'!$I27+'Tabulka-přehled'!$F27</f>
        <v>12.4</v>
      </c>
      <c r="H27" s="67" t="s">
        <v>126</v>
      </c>
      <c r="I27" s="67">
        <v>0.4</v>
      </c>
      <c r="J27" s="67" t="s">
        <v>149</v>
      </c>
      <c r="N27" s="67">
        <f t="shared" si="1"/>
        <v>0</v>
      </c>
      <c r="O27" s="55">
        <f t="shared" si="0"/>
        <v>12.4</v>
      </c>
      <c r="P27" s="67" t="s">
        <v>123</v>
      </c>
      <c r="R27" s="67">
        <v>1</v>
      </c>
      <c r="AI27" s="67">
        <v>1</v>
      </c>
      <c r="AJ27" s="67">
        <v>1</v>
      </c>
      <c r="AK27" s="67">
        <v>3</v>
      </c>
      <c r="AY27" s="67">
        <v>1</v>
      </c>
      <c r="BC27" s="67">
        <v>1</v>
      </c>
      <c r="BQ27" s="67">
        <v>1</v>
      </c>
      <c r="BR27" s="67">
        <v>2</v>
      </c>
      <c r="BU27" s="67">
        <v>1</v>
      </c>
      <c r="CK27" s="67"/>
      <c r="CV27" s="67">
        <v>1</v>
      </c>
      <c r="DM27" s="59"/>
    </row>
    <row r="28" spans="1:117" ht="15">
      <c r="A28" s="67">
        <v>2200</v>
      </c>
      <c r="B28" s="67" t="s">
        <v>150</v>
      </c>
      <c r="C28" s="67">
        <v>21</v>
      </c>
      <c r="D28" s="67" t="s">
        <v>1</v>
      </c>
      <c r="E28" s="67" t="s">
        <v>151</v>
      </c>
      <c r="F28" s="55">
        <v>11</v>
      </c>
      <c r="G28" s="55">
        <f>'Tabulka-přehled'!$I28+'Tabulka-přehled'!$F28</f>
        <v>11.4</v>
      </c>
      <c r="H28" s="67" t="s">
        <v>126</v>
      </c>
      <c r="I28" s="67">
        <v>0.4</v>
      </c>
      <c r="N28" s="67">
        <f t="shared" si="1"/>
        <v>0</v>
      </c>
      <c r="O28" s="55">
        <f t="shared" si="0"/>
        <v>11.4</v>
      </c>
      <c r="P28" s="67" t="s">
        <v>114</v>
      </c>
      <c r="R28" s="67">
        <v>1</v>
      </c>
      <c r="AK28" s="67">
        <v>3</v>
      </c>
      <c r="AZ28" s="67">
        <v>3</v>
      </c>
      <c r="CC28" s="67">
        <v>8</v>
      </c>
      <c r="CH28" s="67">
        <v>1</v>
      </c>
      <c r="CK28" s="67"/>
      <c r="CQ28" s="67">
        <v>1</v>
      </c>
      <c r="DM28" s="59"/>
    </row>
    <row r="29" spans="1:117" ht="15">
      <c r="A29" s="67">
        <v>2210</v>
      </c>
      <c r="B29" s="67" t="s">
        <v>152</v>
      </c>
      <c r="C29" s="67">
        <v>21</v>
      </c>
      <c r="D29" s="67" t="s">
        <v>3</v>
      </c>
      <c r="E29" s="67" t="s">
        <v>153</v>
      </c>
      <c r="F29" s="55">
        <v>2.9</v>
      </c>
      <c r="G29" s="55">
        <f>'Tabulka-přehled'!$I29+'Tabulka-přehled'!$F29</f>
        <v>3.3</v>
      </c>
      <c r="H29" s="67" t="s">
        <v>126</v>
      </c>
      <c r="I29" s="67">
        <v>0.4</v>
      </c>
      <c r="N29" s="67">
        <f t="shared" si="1"/>
        <v>0</v>
      </c>
      <c r="O29" s="55">
        <f t="shared" si="0"/>
        <v>3.3</v>
      </c>
      <c r="P29" s="67" t="s">
        <v>114</v>
      </c>
      <c r="AP29" s="67">
        <v>1</v>
      </c>
      <c r="CB29" s="67">
        <v>1</v>
      </c>
      <c r="CK29" s="67"/>
      <c r="DM29" s="59"/>
    </row>
    <row r="30" spans="1:117" ht="15">
      <c r="A30" s="67">
        <v>2220</v>
      </c>
      <c r="B30" s="67" t="s">
        <v>154</v>
      </c>
      <c r="C30" s="67">
        <v>21</v>
      </c>
      <c r="D30" s="67" t="s">
        <v>1</v>
      </c>
      <c r="E30" s="67" t="s">
        <v>155</v>
      </c>
      <c r="F30" s="55">
        <v>17.3</v>
      </c>
      <c r="G30" s="55">
        <f>'Tabulka-přehled'!$I30+'Tabulka-přehled'!$F30</f>
        <v>19.6</v>
      </c>
      <c r="H30" s="67" t="s">
        <v>126</v>
      </c>
      <c r="I30" s="67">
        <f>ROUND(1.87*0.35*3+0.95*0.35,1)</f>
        <v>2.3</v>
      </c>
      <c r="N30" s="67">
        <f t="shared" si="1"/>
        <v>0</v>
      </c>
      <c r="O30" s="55">
        <f t="shared" si="0"/>
        <v>19.6</v>
      </c>
      <c r="P30" s="67" t="s">
        <v>123</v>
      </c>
      <c r="S30" s="67">
        <v>12</v>
      </c>
      <c r="T30" s="67">
        <v>6</v>
      </c>
      <c r="AX30" s="67">
        <v>1</v>
      </c>
      <c r="BB30" s="67">
        <v>1</v>
      </c>
      <c r="BD30" s="67">
        <v>3</v>
      </c>
      <c r="CD30" s="67">
        <v>2</v>
      </c>
      <c r="CJ30" s="67">
        <v>2</v>
      </c>
      <c r="CK30" s="67"/>
      <c r="DM30" s="59"/>
    </row>
    <row r="31" spans="1:117" ht="15">
      <c r="A31" s="67">
        <v>2230</v>
      </c>
      <c r="B31" s="67" t="s">
        <v>156</v>
      </c>
      <c r="C31" s="67">
        <v>21</v>
      </c>
      <c r="D31" s="67" t="s">
        <v>2</v>
      </c>
      <c r="E31" s="67" t="s">
        <v>157</v>
      </c>
      <c r="F31" s="55">
        <v>11.6</v>
      </c>
      <c r="G31" s="55">
        <f>'Tabulka-přehled'!$I31+'Tabulka-přehled'!$F31</f>
        <v>11.6</v>
      </c>
      <c r="J31" s="67" t="s">
        <v>158</v>
      </c>
      <c r="M31" s="67">
        <f>1.62*0.5</f>
        <v>0.81</v>
      </c>
      <c r="N31" s="67">
        <f t="shared" si="1"/>
        <v>0.81</v>
      </c>
      <c r="O31" s="55">
        <f t="shared" si="0"/>
        <v>10.79</v>
      </c>
      <c r="P31" s="67" t="s">
        <v>123</v>
      </c>
      <c r="AV31" s="67">
        <v>2</v>
      </c>
      <c r="AW31" s="67">
        <v>1</v>
      </c>
      <c r="CB31" s="67">
        <v>4</v>
      </c>
      <c r="CK31" s="67"/>
      <c r="DM31" s="59"/>
    </row>
    <row r="32" spans="1:117" ht="15">
      <c r="A32" s="67">
        <v>2240</v>
      </c>
      <c r="B32" s="67" t="s">
        <v>159</v>
      </c>
      <c r="C32" s="67">
        <v>21</v>
      </c>
      <c r="D32" s="67" t="s">
        <v>2</v>
      </c>
      <c r="E32" s="67" t="s">
        <v>160</v>
      </c>
      <c r="F32" s="55">
        <v>42.3</v>
      </c>
      <c r="G32" s="55">
        <f>'Tabulka-přehled'!$I32+'Tabulka-přehled'!$F32</f>
        <v>42.3</v>
      </c>
      <c r="J32" s="67" t="s">
        <v>161</v>
      </c>
      <c r="M32" s="67">
        <f>5.1*0.8+1.1*0.5</f>
        <v>4.63</v>
      </c>
      <c r="N32" s="67">
        <f t="shared" si="1"/>
        <v>4.63</v>
      </c>
      <c r="O32" s="55">
        <f t="shared" si="0"/>
        <v>37.669999999999995</v>
      </c>
      <c r="P32" s="67" t="s">
        <v>123</v>
      </c>
      <c r="Q32" s="67">
        <v>3</v>
      </c>
      <c r="AF32" s="67">
        <v>3</v>
      </c>
      <c r="CB32" s="67">
        <v>24</v>
      </c>
      <c r="CK32" s="67"/>
      <c r="CV32" s="67">
        <v>3</v>
      </c>
      <c r="DM32" s="59"/>
    </row>
    <row r="33" spans="1:117" ht="15">
      <c r="A33" s="67">
        <v>2250</v>
      </c>
      <c r="B33" s="67" t="s">
        <v>131</v>
      </c>
      <c r="C33" s="67">
        <v>21</v>
      </c>
      <c r="D33" s="67" t="s">
        <v>1</v>
      </c>
      <c r="E33" s="67" t="s">
        <v>162</v>
      </c>
      <c r="F33" s="55">
        <f>2.7*5</f>
        <v>13.5</v>
      </c>
      <c r="G33" s="55">
        <f>'Tabulka-přehled'!$I33+'Tabulka-přehled'!$F33</f>
        <v>13.9</v>
      </c>
      <c r="H33" s="67" t="s">
        <v>126</v>
      </c>
      <c r="I33" s="67">
        <v>0.4</v>
      </c>
      <c r="N33" s="67">
        <f t="shared" si="1"/>
        <v>0</v>
      </c>
      <c r="O33" s="56">
        <f t="shared" si="0"/>
        <v>13.9</v>
      </c>
      <c r="P33" s="67" t="s">
        <v>123</v>
      </c>
      <c r="R33" s="67">
        <v>1</v>
      </c>
      <c r="AK33" s="67">
        <v>3</v>
      </c>
      <c r="AP33" s="67" t="s">
        <v>163</v>
      </c>
      <c r="AQ33" s="67">
        <v>1</v>
      </c>
      <c r="BJ33" s="67">
        <v>2</v>
      </c>
      <c r="BS33" s="67">
        <v>1</v>
      </c>
      <c r="CH33" s="67">
        <v>1</v>
      </c>
      <c r="CK33" s="67"/>
      <c r="CL33" s="67">
        <v>1</v>
      </c>
      <c r="DM33" s="59"/>
    </row>
    <row r="34" spans="1:117" ht="15">
      <c r="A34" s="67">
        <v>2260</v>
      </c>
      <c r="B34" s="67" t="s">
        <v>131</v>
      </c>
      <c r="C34" s="67">
        <v>21</v>
      </c>
      <c r="D34" s="67" t="s">
        <v>1</v>
      </c>
      <c r="E34" s="67" t="s">
        <v>164</v>
      </c>
      <c r="F34" s="55">
        <f>2.6*5</f>
        <v>13</v>
      </c>
      <c r="G34" s="55">
        <f>'Tabulka-přehled'!$I34+'Tabulka-přehled'!$F34</f>
        <v>14</v>
      </c>
      <c r="H34" s="67" t="s">
        <v>126</v>
      </c>
      <c r="I34" s="67">
        <v>1</v>
      </c>
      <c r="N34" s="67">
        <f t="shared" si="1"/>
        <v>0</v>
      </c>
      <c r="O34" s="56">
        <f t="shared" si="0"/>
        <v>14</v>
      </c>
      <c r="P34" s="67" t="s">
        <v>123</v>
      </c>
      <c r="R34" s="67">
        <v>1</v>
      </c>
      <c r="AK34" s="67">
        <v>3</v>
      </c>
      <c r="AV34" s="67">
        <v>1</v>
      </c>
      <c r="BS34" s="67">
        <v>1</v>
      </c>
      <c r="CK34" s="67"/>
      <c r="CL34" s="67">
        <v>1</v>
      </c>
      <c r="DM34" s="59"/>
    </row>
    <row r="35" spans="1:117" ht="15">
      <c r="A35" s="67">
        <v>2270</v>
      </c>
      <c r="B35" s="67" t="s">
        <v>131</v>
      </c>
      <c r="C35" s="67">
        <v>21</v>
      </c>
      <c r="D35" s="67" t="s">
        <v>1</v>
      </c>
      <c r="E35" s="67" t="s">
        <v>165</v>
      </c>
      <c r="F35" s="55">
        <f>5.2*5</f>
        <v>26</v>
      </c>
      <c r="G35" s="55">
        <f>'Tabulka-přehled'!$I35+'Tabulka-přehled'!$F35</f>
        <v>26.4</v>
      </c>
      <c r="H35" s="67" t="s">
        <v>126</v>
      </c>
      <c r="I35" s="67">
        <v>0.4</v>
      </c>
      <c r="N35" s="67">
        <f t="shared" si="1"/>
        <v>0</v>
      </c>
      <c r="O35" s="56">
        <f aca="true" t="shared" si="2" ref="O35:O66">F35+I35-N35</f>
        <v>26.4</v>
      </c>
      <c r="P35" s="67" t="s">
        <v>123</v>
      </c>
      <c r="R35" s="67">
        <v>2</v>
      </c>
      <c r="AK35" s="67">
        <v>6</v>
      </c>
      <c r="AP35" s="67">
        <v>1</v>
      </c>
      <c r="AS35" s="67">
        <v>1</v>
      </c>
      <c r="CH35" s="67">
        <v>1</v>
      </c>
      <c r="CK35" s="67"/>
      <c r="CV35" s="67">
        <v>2</v>
      </c>
      <c r="DM35" s="59"/>
    </row>
    <row r="36" spans="1:117" ht="15">
      <c r="A36" s="67">
        <v>2280</v>
      </c>
      <c r="B36" s="67" t="s">
        <v>131</v>
      </c>
      <c r="C36" s="67">
        <v>21</v>
      </c>
      <c r="D36" s="67" t="s">
        <v>359</v>
      </c>
      <c r="E36" s="67" t="s">
        <v>166</v>
      </c>
      <c r="F36" s="55">
        <f>2.8*5</f>
        <v>14</v>
      </c>
      <c r="G36" s="55">
        <f>'Tabulka-přehled'!$I36+'Tabulka-přehled'!$F36</f>
        <v>14.4</v>
      </c>
      <c r="H36" s="67" t="s">
        <v>126</v>
      </c>
      <c r="I36" s="67">
        <v>0.4</v>
      </c>
      <c r="N36" s="67">
        <f t="shared" si="1"/>
        <v>0</v>
      </c>
      <c r="O36" s="56">
        <f t="shared" si="2"/>
        <v>14.4</v>
      </c>
      <c r="P36" s="67" t="s">
        <v>123</v>
      </c>
      <c r="R36" s="67">
        <v>1</v>
      </c>
      <c r="AK36" s="67">
        <v>3</v>
      </c>
      <c r="AQ36" s="67">
        <v>1</v>
      </c>
      <c r="AV36" s="67">
        <v>1</v>
      </c>
      <c r="CE36" s="67">
        <v>4</v>
      </c>
      <c r="CH36" s="67">
        <v>1</v>
      </c>
      <c r="CK36" s="67"/>
      <c r="CL36" s="67">
        <v>1</v>
      </c>
      <c r="DM36" s="59"/>
    </row>
    <row r="37" spans="1:117" ht="15">
      <c r="A37" s="67">
        <v>2290</v>
      </c>
      <c r="B37" s="67" t="s">
        <v>131</v>
      </c>
      <c r="C37" s="67">
        <v>21</v>
      </c>
      <c r="D37" s="67" t="s">
        <v>359</v>
      </c>
      <c r="E37" s="67" t="s">
        <v>167</v>
      </c>
      <c r="F37" s="55">
        <f>2.9*5</f>
        <v>14.5</v>
      </c>
      <c r="G37" s="55">
        <f>'Tabulka-přehled'!$I37+'Tabulka-přehled'!$F37</f>
        <v>14.9</v>
      </c>
      <c r="H37" s="67" t="s">
        <v>126</v>
      </c>
      <c r="I37" s="67">
        <v>0.4</v>
      </c>
      <c r="N37" s="67">
        <f t="shared" si="1"/>
        <v>0</v>
      </c>
      <c r="O37" s="56">
        <f t="shared" si="2"/>
        <v>14.9</v>
      </c>
      <c r="P37" s="67" t="s">
        <v>123</v>
      </c>
      <c r="R37" s="67">
        <v>1</v>
      </c>
      <c r="AK37" s="67">
        <v>3</v>
      </c>
      <c r="AQ37" s="67">
        <v>1</v>
      </c>
      <c r="BS37" s="67">
        <v>1</v>
      </c>
      <c r="CH37" s="67">
        <v>1</v>
      </c>
      <c r="CK37" s="67"/>
      <c r="CL37" s="67">
        <v>1</v>
      </c>
      <c r="DM37" s="59"/>
    </row>
    <row r="38" spans="1:117" ht="15">
      <c r="A38" s="67">
        <v>2300</v>
      </c>
      <c r="B38" s="67" t="s">
        <v>131</v>
      </c>
      <c r="C38" s="67">
        <v>21</v>
      </c>
      <c r="D38" s="67" t="s">
        <v>359</v>
      </c>
      <c r="E38" s="67" t="s">
        <v>162</v>
      </c>
      <c r="F38" s="55">
        <f>2.7*5</f>
        <v>13.5</v>
      </c>
      <c r="G38" s="55">
        <f>'Tabulka-přehled'!$I38+'Tabulka-přehled'!$F38</f>
        <v>13.9</v>
      </c>
      <c r="H38" s="67" t="s">
        <v>126</v>
      </c>
      <c r="I38" s="67">
        <v>0.4</v>
      </c>
      <c r="N38" s="67">
        <f t="shared" si="1"/>
        <v>0</v>
      </c>
      <c r="O38" s="56">
        <f t="shared" si="2"/>
        <v>13.9</v>
      </c>
      <c r="P38" s="67" t="s">
        <v>123</v>
      </c>
      <c r="R38" s="67">
        <v>1</v>
      </c>
      <c r="AK38" s="67">
        <v>3</v>
      </c>
      <c r="AQ38" s="67">
        <v>1</v>
      </c>
      <c r="BS38" s="67">
        <v>1</v>
      </c>
      <c r="CH38" s="67">
        <v>1</v>
      </c>
      <c r="CK38" s="67"/>
      <c r="CL38" s="67">
        <v>1</v>
      </c>
      <c r="DM38" s="59"/>
    </row>
    <row r="39" spans="1:117" ht="15">
      <c r="A39" s="67">
        <v>2310</v>
      </c>
      <c r="B39" s="67" t="s">
        <v>131</v>
      </c>
      <c r="C39" s="67">
        <v>21</v>
      </c>
      <c r="D39" s="67" t="s">
        <v>359</v>
      </c>
      <c r="E39" s="67" t="s">
        <v>168</v>
      </c>
      <c r="F39" s="55">
        <f>4.45*6.65</f>
        <v>29.5925</v>
      </c>
      <c r="G39" s="55">
        <f>'Tabulka-přehled'!$I39+'Tabulka-přehled'!$F39</f>
        <v>29.5925</v>
      </c>
      <c r="J39" s="67" t="s">
        <v>169</v>
      </c>
      <c r="N39" s="67">
        <f t="shared" si="1"/>
        <v>0</v>
      </c>
      <c r="O39" s="56">
        <f t="shared" si="2"/>
        <v>29.5925</v>
      </c>
      <c r="P39" s="67" t="s">
        <v>123</v>
      </c>
      <c r="R39" s="67">
        <v>2</v>
      </c>
      <c r="AK39" s="67">
        <v>6</v>
      </c>
      <c r="AQ39" s="67">
        <v>1</v>
      </c>
      <c r="BT39" s="67">
        <v>2</v>
      </c>
      <c r="CH39" s="67">
        <v>1</v>
      </c>
      <c r="CK39" s="67"/>
      <c r="CP39" s="67">
        <v>2</v>
      </c>
      <c r="DM39" s="59"/>
    </row>
    <row r="40" spans="1:117" ht="15">
      <c r="A40" s="67">
        <v>2311</v>
      </c>
      <c r="B40" s="67" t="s">
        <v>150</v>
      </c>
      <c r="C40" s="67">
        <v>21</v>
      </c>
      <c r="D40" s="67" t="s">
        <v>1</v>
      </c>
      <c r="E40" s="67" t="s">
        <v>170</v>
      </c>
      <c r="F40" s="55">
        <f>3.1*0.93</f>
        <v>2.8830000000000005</v>
      </c>
      <c r="G40" s="55">
        <f>'Tabulka-přehled'!$I40+'Tabulka-přehled'!$F40</f>
        <v>2.8830000000000005</v>
      </c>
      <c r="N40" s="67">
        <f t="shared" si="1"/>
        <v>0</v>
      </c>
      <c r="O40" s="56">
        <f t="shared" si="2"/>
        <v>2.8830000000000005</v>
      </c>
      <c r="P40" s="67" t="s">
        <v>114</v>
      </c>
      <c r="R40" s="67">
        <v>1</v>
      </c>
      <c r="AZ40" s="67">
        <v>2</v>
      </c>
      <c r="CB40" s="67">
        <v>2</v>
      </c>
      <c r="CH40" s="67">
        <v>1</v>
      </c>
      <c r="CK40" s="67">
        <v>1</v>
      </c>
      <c r="DM40" s="59"/>
    </row>
    <row r="41" spans="1:117" ht="15">
      <c r="A41" s="67">
        <v>2320</v>
      </c>
      <c r="B41" s="67" t="s">
        <v>150</v>
      </c>
      <c r="C41" s="67">
        <v>21</v>
      </c>
      <c r="D41" s="67" t="s">
        <v>1</v>
      </c>
      <c r="E41" s="67" t="s">
        <v>171</v>
      </c>
      <c r="F41" s="55">
        <f>2.36*5.6</f>
        <v>13.216</v>
      </c>
      <c r="G41" s="55">
        <f>'Tabulka-přehled'!$I41+'Tabulka-přehled'!$F41</f>
        <v>13.216</v>
      </c>
      <c r="N41" s="67">
        <f t="shared" si="1"/>
        <v>0</v>
      </c>
      <c r="O41" s="56">
        <f t="shared" si="2"/>
        <v>13.216</v>
      </c>
      <c r="P41" s="67" t="s">
        <v>114</v>
      </c>
      <c r="R41" s="67">
        <v>1</v>
      </c>
      <c r="AE41" s="67">
        <v>1</v>
      </c>
      <c r="AZ41" s="67">
        <v>4</v>
      </c>
      <c r="CC41" s="67">
        <v>9</v>
      </c>
      <c r="CH41" s="67">
        <v>1</v>
      </c>
      <c r="CK41" s="67">
        <v>1</v>
      </c>
      <c r="DM41" s="59"/>
    </row>
    <row r="42" spans="1:117" ht="15">
      <c r="A42" s="67">
        <v>2330</v>
      </c>
      <c r="B42" s="67" t="s">
        <v>131</v>
      </c>
      <c r="C42" s="67">
        <v>21</v>
      </c>
      <c r="D42" s="67" t="s">
        <v>1</v>
      </c>
      <c r="E42" s="67" t="s">
        <v>172</v>
      </c>
      <c r="F42" s="55">
        <f>2.63*5.35</f>
        <v>14.0705</v>
      </c>
      <c r="G42" s="55">
        <f>'Tabulka-přehled'!$I42+'Tabulka-přehled'!$F42</f>
        <v>15.0705</v>
      </c>
      <c r="H42" s="67" t="s">
        <v>126</v>
      </c>
      <c r="I42" s="67">
        <v>1</v>
      </c>
      <c r="J42" s="67" t="s">
        <v>173</v>
      </c>
      <c r="M42" s="67">
        <v>0.44</v>
      </c>
      <c r="N42" s="67">
        <f t="shared" si="1"/>
        <v>0.44</v>
      </c>
      <c r="O42" s="56">
        <f t="shared" si="2"/>
        <v>14.6305</v>
      </c>
      <c r="P42" s="67" t="s">
        <v>123</v>
      </c>
      <c r="R42" s="67">
        <v>1</v>
      </c>
      <c r="AK42" s="67">
        <v>3</v>
      </c>
      <c r="AP42" s="67">
        <v>1</v>
      </c>
      <c r="BT42" s="67">
        <v>1</v>
      </c>
      <c r="CK42" s="67"/>
      <c r="CL42" s="67">
        <v>1</v>
      </c>
      <c r="DM42" s="59"/>
    </row>
    <row r="43" spans="1:117" ht="15">
      <c r="A43" s="67">
        <v>2340</v>
      </c>
      <c r="B43" s="67" t="s">
        <v>131</v>
      </c>
      <c r="C43" s="67">
        <v>21</v>
      </c>
      <c r="D43" s="67" t="s">
        <v>1</v>
      </c>
      <c r="E43" s="67" t="s">
        <v>174</v>
      </c>
      <c r="F43" s="55">
        <f>2.58*4.8</f>
        <v>12.384</v>
      </c>
      <c r="G43" s="55">
        <f>'Tabulka-přehled'!$I43+'Tabulka-přehled'!$F43</f>
        <v>13.392</v>
      </c>
      <c r="H43" s="67" t="s">
        <v>126</v>
      </c>
      <c r="I43" s="67">
        <f>0.84*1.2</f>
        <v>1.008</v>
      </c>
      <c r="N43" s="67">
        <f t="shared" si="1"/>
        <v>0</v>
      </c>
      <c r="O43" s="56">
        <f t="shared" si="2"/>
        <v>13.392</v>
      </c>
      <c r="P43" s="67" t="s">
        <v>123</v>
      </c>
      <c r="R43" s="67">
        <v>1</v>
      </c>
      <c r="AK43" s="67">
        <v>3</v>
      </c>
      <c r="AP43" s="67">
        <v>1</v>
      </c>
      <c r="AV43" s="67">
        <v>1</v>
      </c>
      <c r="BT43" s="67">
        <v>1</v>
      </c>
      <c r="CK43" s="67"/>
      <c r="CL43" s="67">
        <v>1</v>
      </c>
      <c r="DM43" s="59"/>
    </row>
    <row r="44" spans="1:117" ht="15">
      <c r="A44" s="67">
        <v>2350</v>
      </c>
      <c r="B44" s="67" t="s">
        <v>131</v>
      </c>
      <c r="C44" s="67">
        <v>21</v>
      </c>
      <c r="D44" s="67" t="s">
        <v>1</v>
      </c>
      <c r="E44" s="67" t="s">
        <v>175</v>
      </c>
      <c r="F44" s="55">
        <f>7.7*11.54</f>
        <v>88.85799999999999</v>
      </c>
      <c r="G44" s="55">
        <f>'Tabulka-přehled'!$I44+'Tabulka-přehled'!$F44</f>
        <v>90.34799999999998</v>
      </c>
      <c r="H44" s="67" t="s">
        <v>126</v>
      </c>
      <c r="I44" s="67">
        <f>0.35*2.4+0.25*2.6</f>
        <v>1.49</v>
      </c>
      <c r="N44" s="67">
        <f t="shared" si="1"/>
        <v>0</v>
      </c>
      <c r="O44" s="56">
        <f t="shared" si="2"/>
        <v>90.34799999999998</v>
      </c>
      <c r="P44" s="67" t="s">
        <v>123</v>
      </c>
      <c r="R44" s="67" t="s">
        <v>176</v>
      </c>
      <c r="AB44" s="67">
        <v>6</v>
      </c>
      <c r="AH44" s="67">
        <v>6</v>
      </c>
      <c r="BK44" s="67">
        <v>1</v>
      </c>
      <c r="BX44" s="67">
        <v>7</v>
      </c>
      <c r="CK44" s="67"/>
      <c r="CM44" s="67">
        <v>5</v>
      </c>
      <c r="DM44" s="59"/>
    </row>
    <row r="45" spans="1:117" ht="15">
      <c r="A45" s="67">
        <v>2360</v>
      </c>
      <c r="B45" s="67" t="s">
        <v>150</v>
      </c>
      <c r="C45" s="67">
        <v>21</v>
      </c>
      <c r="D45" s="67" t="s">
        <v>1</v>
      </c>
      <c r="E45" s="67" t="s">
        <v>177</v>
      </c>
      <c r="F45" s="55">
        <f>1.3*1.08+1.08*1.4</f>
        <v>2.9160000000000004</v>
      </c>
      <c r="G45" s="55">
        <f>'Tabulka-přehled'!$I45+'Tabulka-přehled'!$F45</f>
        <v>2.9160000000000004</v>
      </c>
      <c r="N45" s="67">
        <f t="shared" si="1"/>
        <v>0</v>
      </c>
      <c r="O45" s="56">
        <f t="shared" si="2"/>
        <v>2.9160000000000004</v>
      </c>
      <c r="P45" s="67" t="s">
        <v>114</v>
      </c>
      <c r="W45" s="67">
        <v>1</v>
      </c>
      <c r="AM45" s="67">
        <v>2</v>
      </c>
      <c r="BL45" s="67">
        <v>2</v>
      </c>
      <c r="CB45" s="67">
        <v>2</v>
      </c>
      <c r="CH45" s="67">
        <v>1</v>
      </c>
      <c r="CK45" s="67"/>
      <c r="CL45" s="67">
        <v>1</v>
      </c>
      <c r="DM45" s="59"/>
    </row>
    <row r="46" spans="1:117" ht="15">
      <c r="A46" s="67">
        <v>2361</v>
      </c>
      <c r="B46" s="67" t="s">
        <v>150</v>
      </c>
      <c r="C46" s="67">
        <v>21</v>
      </c>
      <c r="D46" s="67" t="s">
        <v>1</v>
      </c>
      <c r="E46" s="67" t="s">
        <v>178</v>
      </c>
      <c r="F46" s="55">
        <f>0.87*2.4+1.2*2.8</f>
        <v>5.448</v>
      </c>
      <c r="G46" s="55">
        <f>'Tabulka-přehled'!$I46+'Tabulka-přehled'!$F46</f>
        <v>5.448</v>
      </c>
      <c r="N46" s="67">
        <f t="shared" si="1"/>
        <v>0</v>
      </c>
      <c r="O46" s="56">
        <f t="shared" si="2"/>
        <v>5.448</v>
      </c>
      <c r="P46" s="67" t="s">
        <v>114</v>
      </c>
      <c r="BL46" s="67">
        <v>2</v>
      </c>
      <c r="CB46" s="67">
        <v>2</v>
      </c>
      <c r="CH46" s="67">
        <v>1</v>
      </c>
      <c r="CK46" s="67"/>
      <c r="DM46" s="59"/>
    </row>
    <row r="47" spans="1:117" ht="15">
      <c r="A47" s="67">
        <v>2370</v>
      </c>
      <c r="B47" s="67" t="s">
        <v>131</v>
      </c>
      <c r="C47" s="67">
        <v>21</v>
      </c>
      <c r="D47" s="67" t="s">
        <v>359</v>
      </c>
      <c r="E47" s="67" t="s">
        <v>179</v>
      </c>
      <c r="F47" s="55">
        <f>4*3.7</f>
        <v>14.8</v>
      </c>
      <c r="G47" s="55">
        <f>'Tabulka-přehled'!$I47+'Tabulka-přehled'!$F47</f>
        <v>17.8</v>
      </c>
      <c r="H47" s="67" t="s">
        <v>126</v>
      </c>
      <c r="I47" s="67">
        <f>1.5*2</f>
        <v>3</v>
      </c>
      <c r="N47" s="67">
        <f t="shared" si="1"/>
        <v>0</v>
      </c>
      <c r="O47" s="56">
        <f t="shared" si="2"/>
        <v>17.8</v>
      </c>
      <c r="P47" s="67" t="s">
        <v>123</v>
      </c>
      <c r="W47" s="67">
        <v>2</v>
      </c>
      <c r="AL47" s="67">
        <v>1</v>
      </c>
      <c r="AM47" s="67">
        <v>4</v>
      </c>
      <c r="AR47" s="67" t="s">
        <v>37</v>
      </c>
      <c r="AU47" s="67">
        <v>1</v>
      </c>
      <c r="BU47" s="67">
        <v>2</v>
      </c>
      <c r="CK47" s="67"/>
      <c r="CY47" s="67">
        <v>2</v>
      </c>
      <c r="DM47" s="59"/>
    </row>
    <row r="48" spans="1:117" ht="15">
      <c r="A48" s="67">
        <v>2380</v>
      </c>
      <c r="B48" s="67" t="s">
        <v>131</v>
      </c>
      <c r="C48" s="67">
        <v>21</v>
      </c>
      <c r="D48" s="67" t="s">
        <v>1</v>
      </c>
      <c r="E48" s="67" t="s">
        <v>180</v>
      </c>
      <c r="F48" s="55">
        <f>3.8*4.7+0.5</f>
        <v>18.36</v>
      </c>
      <c r="G48" s="55">
        <f>'Tabulka-přehled'!$I48+'Tabulka-přehled'!$F48</f>
        <v>21.09</v>
      </c>
      <c r="H48" s="67" t="s">
        <v>126</v>
      </c>
      <c r="I48" s="67">
        <f>1.95*1.4</f>
        <v>2.73</v>
      </c>
      <c r="N48" s="67">
        <f t="shared" si="1"/>
        <v>0</v>
      </c>
      <c r="O48" s="56">
        <f t="shared" si="2"/>
        <v>21.09</v>
      </c>
      <c r="P48" s="67" t="s">
        <v>123</v>
      </c>
      <c r="W48" s="67">
        <v>2</v>
      </c>
      <c r="AM48" s="67">
        <v>4</v>
      </c>
      <c r="AV48" s="67">
        <v>1</v>
      </c>
      <c r="AW48" s="67" t="s">
        <v>128</v>
      </c>
      <c r="BS48" s="67">
        <v>3</v>
      </c>
      <c r="CK48" s="67"/>
      <c r="CY48" s="67">
        <v>2</v>
      </c>
      <c r="DM48" s="59"/>
    </row>
    <row r="49" spans="1:117" ht="15">
      <c r="A49" s="67">
        <v>2390</v>
      </c>
      <c r="B49" s="67" t="s">
        <v>131</v>
      </c>
      <c r="C49" s="67">
        <v>21</v>
      </c>
      <c r="D49" s="67" t="s">
        <v>359</v>
      </c>
      <c r="E49" s="67" t="s">
        <v>181</v>
      </c>
      <c r="F49" s="55">
        <f>3*5.8</f>
        <v>17.4</v>
      </c>
      <c r="G49" s="55">
        <f>'Tabulka-přehled'!$I49+'Tabulka-přehled'!$F49</f>
        <v>17.4</v>
      </c>
      <c r="J49" s="67" t="s">
        <v>182</v>
      </c>
      <c r="M49" s="67">
        <v>1.3</v>
      </c>
      <c r="N49" s="67">
        <f t="shared" si="1"/>
        <v>1.3</v>
      </c>
      <c r="O49" s="56">
        <f t="shared" si="2"/>
        <v>16.099999999999998</v>
      </c>
      <c r="P49" s="67" t="s">
        <v>123</v>
      </c>
      <c r="U49" s="67">
        <v>2</v>
      </c>
      <c r="AV49" s="67">
        <v>1</v>
      </c>
      <c r="BS49" s="67">
        <v>2</v>
      </c>
      <c r="CH49" s="67">
        <v>1</v>
      </c>
      <c r="CK49" s="67"/>
      <c r="CO49" s="67">
        <v>1</v>
      </c>
      <c r="CZ49" s="67">
        <v>1</v>
      </c>
      <c r="DM49" s="59"/>
    </row>
    <row r="50" spans="1:117" ht="15">
      <c r="A50" s="67">
        <v>2400</v>
      </c>
      <c r="B50" s="67" t="s">
        <v>131</v>
      </c>
      <c r="C50" s="67">
        <v>20</v>
      </c>
      <c r="D50" s="67" t="s">
        <v>359</v>
      </c>
      <c r="E50" s="67" t="s">
        <v>183</v>
      </c>
      <c r="F50" s="55">
        <f>4.15*5.6</f>
        <v>23.240000000000002</v>
      </c>
      <c r="G50" s="55">
        <f>'Tabulka-přehled'!$I50+'Tabulka-přehled'!$F50</f>
        <v>23.240000000000002</v>
      </c>
      <c r="J50" s="67" t="s">
        <v>182</v>
      </c>
      <c r="M50" s="67">
        <v>0.5</v>
      </c>
      <c r="N50" s="67">
        <f t="shared" si="1"/>
        <v>0.5</v>
      </c>
      <c r="O50" s="56">
        <f t="shared" si="2"/>
        <v>22.740000000000002</v>
      </c>
      <c r="P50" s="67" t="s">
        <v>123</v>
      </c>
      <c r="U50" s="67">
        <v>2</v>
      </c>
      <c r="AU50" s="67">
        <v>1</v>
      </c>
      <c r="CK50" s="67"/>
      <c r="DM50" s="59"/>
    </row>
    <row r="51" spans="1:117" ht="15">
      <c r="A51" s="67">
        <v>2410</v>
      </c>
      <c r="B51" s="67" t="s">
        <v>131</v>
      </c>
      <c r="C51" s="67">
        <v>20</v>
      </c>
      <c r="D51" s="67" t="s">
        <v>359</v>
      </c>
      <c r="E51" s="67" t="s">
        <v>184</v>
      </c>
      <c r="F51" s="55">
        <f>5.4*3.4</f>
        <v>18.36</v>
      </c>
      <c r="G51" s="55">
        <f>'Tabulka-přehled'!$I51+'Tabulka-přehled'!$F51</f>
        <v>18.36</v>
      </c>
      <c r="J51" s="67" t="s">
        <v>185</v>
      </c>
      <c r="M51" s="67">
        <v>0.3</v>
      </c>
      <c r="N51" s="67">
        <f t="shared" si="1"/>
        <v>0.3</v>
      </c>
      <c r="O51" s="56">
        <f t="shared" si="2"/>
        <v>18.06</v>
      </c>
      <c r="P51" s="67" t="s">
        <v>123</v>
      </c>
      <c r="R51" s="67">
        <v>1</v>
      </c>
      <c r="CH51" s="67">
        <v>1</v>
      </c>
      <c r="CK51" s="67"/>
      <c r="DM51" s="59"/>
    </row>
    <row r="52" spans="1:117" ht="15">
      <c r="A52" s="67">
        <v>2501</v>
      </c>
      <c r="B52" s="67" t="s">
        <v>113</v>
      </c>
      <c r="C52" s="67">
        <v>21</v>
      </c>
      <c r="D52" s="67" t="s">
        <v>1</v>
      </c>
      <c r="E52" s="67" t="s">
        <v>186</v>
      </c>
      <c r="F52" s="55">
        <f>2.2*24.1</f>
        <v>53.02000000000001</v>
      </c>
      <c r="G52" s="55">
        <f>'Tabulka-přehled'!$I52+'Tabulka-přehled'!$F52</f>
        <v>53.02000000000001</v>
      </c>
      <c r="N52" s="67">
        <f t="shared" si="1"/>
        <v>0</v>
      </c>
      <c r="O52" s="55">
        <f t="shared" si="2"/>
        <v>53.02000000000001</v>
      </c>
      <c r="P52" s="67" t="s">
        <v>114</v>
      </c>
      <c r="BA52" s="67">
        <v>2</v>
      </c>
      <c r="BS52" s="67">
        <v>5</v>
      </c>
      <c r="CI52" s="67">
        <v>1</v>
      </c>
      <c r="CK52" s="67"/>
      <c r="CT52" s="67">
        <v>1</v>
      </c>
      <c r="DM52" s="59"/>
    </row>
    <row r="53" spans="1:117" ht="15">
      <c r="A53" s="67">
        <v>2502</v>
      </c>
      <c r="B53" s="67" t="s">
        <v>113</v>
      </c>
      <c r="C53" s="67">
        <v>21</v>
      </c>
      <c r="D53" s="67" t="s">
        <v>1</v>
      </c>
      <c r="E53" s="67" t="s">
        <v>187</v>
      </c>
      <c r="F53" s="55">
        <v>50.9</v>
      </c>
      <c r="G53" s="55">
        <f>'Tabulka-přehled'!$I53+'Tabulka-přehled'!$F53</f>
        <v>53.3</v>
      </c>
      <c r="H53" s="67" t="s">
        <v>126</v>
      </c>
      <c r="I53" s="67">
        <v>2.4</v>
      </c>
      <c r="N53" s="67">
        <f t="shared" si="1"/>
        <v>0</v>
      </c>
      <c r="O53" s="55">
        <f t="shared" si="2"/>
        <v>53.3</v>
      </c>
      <c r="P53" s="67" t="s">
        <v>114</v>
      </c>
      <c r="AW53" s="67">
        <v>1</v>
      </c>
      <c r="BS53" s="67">
        <v>3</v>
      </c>
      <c r="CK53" s="67"/>
      <c r="CN53" s="67">
        <v>1</v>
      </c>
      <c r="DM53" s="59"/>
    </row>
    <row r="54" spans="1:117" ht="15">
      <c r="A54" s="67">
        <v>2503</v>
      </c>
      <c r="B54" s="67" t="s">
        <v>113</v>
      </c>
      <c r="C54" s="67">
        <v>21</v>
      </c>
      <c r="D54" s="67" t="s">
        <v>1</v>
      </c>
      <c r="E54" s="67" t="s">
        <v>188</v>
      </c>
      <c r="F54" s="55">
        <f>2.84*8.37+5.7*2.6+22.7*2.2+1.5*2.3</f>
        <v>91.9808</v>
      </c>
      <c r="G54" s="55">
        <f>'Tabulka-přehled'!$I54+'Tabulka-přehled'!$F54</f>
        <v>93.2593</v>
      </c>
      <c r="H54" s="67" t="s">
        <v>189</v>
      </c>
      <c r="I54" s="67">
        <f>0.4*2+0.87*0.55</f>
        <v>1.2785000000000002</v>
      </c>
      <c r="N54" s="67">
        <f t="shared" si="1"/>
        <v>0</v>
      </c>
      <c r="O54" s="56">
        <f t="shared" si="2"/>
        <v>93.2593</v>
      </c>
      <c r="P54" s="67" t="s">
        <v>114</v>
      </c>
      <c r="R54" s="67">
        <v>7</v>
      </c>
      <c r="Z54" s="67">
        <v>2</v>
      </c>
      <c r="AC54" s="67">
        <v>1</v>
      </c>
      <c r="BG54" s="67">
        <v>1</v>
      </c>
      <c r="BS54" s="67">
        <v>5</v>
      </c>
      <c r="CK54" s="67"/>
      <c r="CN54" s="67">
        <v>3</v>
      </c>
      <c r="CQ54" s="67">
        <v>5</v>
      </c>
      <c r="DM54" s="59"/>
    </row>
    <row r="55" spans="1:117" ht="15">
      <c r="A55" s="67">
        <v>2504</v>
      </c>
      <c r="B55" s="67" t="s">
        <v>113</v>
      </c>
      <c r="C55" s="67">
        <v>21</v>
      </c>
      <c r="D55" s="67" t="s">
        <v>1</v>
      </c>
      <c r="E55" s="67" t="s">
        <v>190</v>
      </c>
      <c r="F55" s="55">
        <f>5.6*2.17</f>
        <v>12.152</v>
      </c>
      <c r="G55" s="55">
        <f>'Tabulka-přehled'!$I55+'Tabulka-přehled'!$F55</f>
        <v>12.152</v>
      </c>
      <c r="N55" s="67">
        <f t="shared" si="1"/>
        <v>0</v>
      </c>
      <c r="O55" s="56">
        <f t="shared" si="2"/>
        <v>12.152</v>
      </c>
      <c r="P55" s="67" t="s">
        <v>114</v>
      </c>
      <c r="R55" s="67">
        <v>2</v>
      </c>
      <c r="BM55" s="67">
        <v>1</v>
      </c>
      <c r="CK55" s="67"/>
      <c r="DM55" s="59"/>
    </row>
    <row r="56" spans="1:117" ht="15">
      <c r="A56" s="67">
        <v>2505</v>
      </c>
      <c r="B56" s="67" t="s">
        <v>113</v>
      </c>
      <c r="C56" s="67">
        <v>21</v>
      </c>
      <c r="D56" s="67" t="s">
        <v>1</v>
      </c>
      <c r="F56" s="55">
        <v>13.2</v>
      </c>
      <c r="G56" s="55">
        <f>'Tabulka-přehled'!$I56+'Tabulka-přehled'!$F56</f>
        <v>13.2</v>
      </c>
      <c r="O56" s="56">
        <f t="shared" si="2"/>
        <v>13.2</v>
      </c>
      <c r="P56" s="67" t="s">
        <v>114</v>
      </c>
      <c r="X56" s="67">
        <v>1</v>
      </c>
      <c r="AN56" s="67">
        <v>2</v>
      </c>
      <c r="BN56" s="67">
        <v>3</v>
      </c>
      <c r="BO56" s="67">
        <v>1</v>
      </c>
      <c r="BS56" s="67">
        <v>2</v>
      </c>
      <c r="CK56" s="67">
        <v>1</v>
      </c>
      <c r="DM56" s="57"/>
    </row>
    <row r="57" spans="1:117" ht="15">
      <c r="A57" s="67">
        <v>2506</v>
      </c>
      <c r="B57" s="67" t="s">
        <v>113</v>
      </c>
      <c r="C57" s="67">
        <v>21</v>
      </c>
      <c r="D57" s="67" t="s">
        <v>1</v>
      </c>
      <c r="E57" s="67" t="s">
        <v>191</v>
      </c>
      <c r="F57" s="55">
        <v>4.4</v>
      </c>
      <c r="G57" s="55">
        <f>'Tabulka-přehled'!$I57+'Tabulka-přehled'!$F57</f>
        <v>4.4</v>
      </c>
      <c r="N57" s="67">
        <f>(K57*0.376)+(L57*0.48)+M57</f>
        <v>0</v>
      </c>
      <c r="O57" s="56">
        <f t="shared" si="2"/>
        <v>4.4</v>
      </c>
      <c r="P57" s="67" t="s">
        <v>114</v>
      </c>
      <c r="BH57" s="67">
        <v>1</v>
      </c>
      <c r="CB57" s="67">
        <v>1</v>
      </c>
      <c r="CK57" s="67"/>
      <c r="DM57" s="59"/>
    </row>
    <row r="58" spans="1:117" ht="15">
      <c r="A58" s="67">
        <v>2601</v>
      </c>
      <c r="B58" s="67" t="s">
        <v>116</v>
      </c>
      <c r="C58" s="67">
        <v>21</v>
      </c>
      <c r="D58" s="67" t="s">
        <v>1</v>
      </c>
      <c r="F58" s="55">
        <v>18</v>
      </c>
      <c r="G58" s="55">
        <f>'Tabulka-přehled'!$I58+'Tabulka-přehled'!$F58</f>
        <v>18</v>
      </c>
      <c r="O58" s="56">
        <f t="shared" si="2"/>
        <v>18</v>
      </c>
      <c r="P58" s="67" t="s">
        <v>114</v>
      </c>
      <c r="V58" s="67">
        <v>18</v>
      </c>
      <c r="CB58" s="67">
        <v>1</v>
      </c>
      <c r="CK58" s="67"/>
      <c r="DM58" s="57" t="s">
        <v>192</v>
      </c>
    </row>
    <row r="59" spans="1:117" ht="15">
      <c r="A59" s="67">
        <v>2602</v>
      </c>
      <c r="B59" s="67" t="s">
        <v>116</v>
      </c>
      <c r="C59" s="67">
        <v>31</v>
      </c>
      <c r="D59" s="67" t="s">
        <v>1</v>
      </c>
      <c r="E59" s="67" t="s">
        <v>193</v>
      </c>
      <c r="F59" s="55">
        <f>2*1.75+2*2+2*3.87+2*2+2*1.75</f>
        <v>22.740000000000002</v>
      </c>
      <c r="G59" s="55">
        <f>'Tabulka-přehled'!$I59+'Tabulka-přehled'!$F59</f>
        <v>22.740000000000002</v>
      </c>
      <c r="N59" s="67">
        <f>(K59*0.376)+(L59*0.48)+M59</f>
        <v>0</v>
      </c>
      <c r="O59" s="56">
        <f t="shared" si="2"/>
        <v>22.740000000000002</v>
      </c>
      <c r="P59" s="67" t="s">
        <v>114</v>
      </c>
      <c r="BR59" s="67">
        <v>2</v>
      </c>
      <c r="CK59" s="67"/>
      <c r="DM59" s="57"/>
    </row>
    <row r="60" spans="1:117" ht="15">
      <c r="A60" s="67">
        <v>2603</v>
      </c>
      <c r="B60" s="67" t="s">
        <v>116</v>
      </c>
      <c r="C60" s="67">
        <v>21</v>
      </c>
      <c r="D60" s="67" t="s">
        <v>1</v>
      </c>
      <c r="F60" s="55">
        <v>14.2</v>
      </c>
      <c r="G60" s="55">
        <f>'Tabulka-přehled'!$I60+'Tabulka-přehled'!$F60</f>
        <v>14.2</v>
      </c>
      <c r="O60" s="56">
        <f t="shared" si="2"/>
        <v>14.2</v>
      </c>
      <c r="P60" s="67" t="s">
        <v>114</v>
      </c>
      <c r="V60" s="67">
        <v>17.7</v>
      </c>
      <c r="BR60" s="67">
        <v>2</v>
      </c>
      <c r="CK60" s="67"/>
      <c r="DM60" s="57" t="s">
        <v>195</v>
      </c>
    </row>
    <row r="61" spans="1:117" ht="15">
      <c r="A61" s="67">
        <v>3010</v>
      </c>
      <c r="B61" s="67" t="s">
        <v>131</v>
      </c>
      <c r="C61" s="67">
        <v>31</v>
      </c>
      <c r="D61" s="67" t="s">
        <v>359</v>
      </c>
      <c r="E61" s="67" t="s">
        <v>196</v>
      </c>
      <c r="F61" s="55">
        <v>13.9</v>
      </c>
      <c r="G61" s="55">
        <f>'Tabulka-přehled'!$I61+'Tabulka-přehled'!$F61</f>
        <v>14.9</v>
      </c>
      <c r="H61" s="67" t="s">
        <v>126</v>
      </c>
      <c r="I61" s="67">
        <v>1</v>
      </c>
      <c r="N61" s="67">
        <f aca="true" t="shared" si="3" ref="N61:N107">(K61*0.376)+(L61*0.48)+M61</f>
        <v>0</v>
      </c>
      <c r="O61" s="55">
        <f t="shared" si="2"/>
        <v>14.9</v>
      </c>
      <c r="P61" s="67" t="s">
        <v>123</v>
      </c>
      <c r="R61" s="67">
        <v>1</v>
      </c>
      <c r="AK61" s="67">
        <v>3</v>
      </c>
      <c r="AQ61" s="67">
        <v>1</v>
      </c>
      <c r="AV61" s="67">
        <v>1</v>
      </c>
      <c r="BS61" s="67">
        <v>2</v>
      </c>
      <c r="CK61" s="67"/>
      <c r="DC61" s="67">
        <v>1</v>
      </c>
      <c r="DM61" s="59"/>
    </row>
    <row r="62" spans="1:117" ht="15">
      <c r="A62" s="67">
        <v>3020</v>
      </c>
      <c r="B62" s="67" t="s">
        <v>131</v>
      </c>
      <c r="C62" s="67">
        <v>31</v>
      </c>
      <c r="D62" s="67" t="s">
        <v>359</v>
      </c>
      <c r="E62" s="67" t="s">
        <v>197</v>
      </c>
      <c r="F62" s="55">
        <v>27.25</v>
      </c>
      <c r="G62" s="55">
        <f>'Tabulka-přehled'!$I62+'Tabulka-přehled'!$F62</f>
        <v>28.25</v>
      </c>
      <c r="H62" s="67" t="s">
        <v>126</v>
      </c>
      <c r="I62" s="67">
        <v>1</v>
      </c>
      <c r="N62" s="67">
        <f t="shared" si="3"/>
        <v>0</v>
      </c>
      <c r="O62" s="55">
        <f t="shared" si="2"/>
        <v>28.25</v>
      </c>
      <c r="P62" s="67" t="s">
        <v>123</v>
      </c>
      <c r="R62" s="67">
        <v>2</v>
      </c>
      <c r="AK62" s="67">
        <v>6</v>
      </c>
      <c r="AQ62" s="67">
        <v>1</v>
      </c>
      <c r="AV62" s="67">
        <v>1</v>
      </c>
      <c r="BV62" s="67">
        <v>1</v>
      </c>
      <c r="CK62" s="67"/>
      <c r="CV62" s="67">
        <v>2</v>
      </c>
      <c r="DM62" s="59"/>
    </row>
    <row r="63" spans="1:117" ht="15">
      <c r="A63" s="67">
        <v>3030</v>
      </c>
      <c r="B63" s="67" t="s">
        <v>131</v>
      </c>
      <c r="C63" s="67">
        <v>31</v>
      </c>
      <c r="D63" s="68" t="s">
        <v>359</v>
      </c>
      <c r="E63" s="67" t="s">
        <v>198</v>
      </c>
      <c r="F63" s="55">
        <v>15.1</v>
      </c>
      <c r="G63" s="55">
        <f>'Tabulka-přehled'!$I63+'Tabulka-přehled'!$F63</f>
        <v>16.1</v>
      </c>
      <c r="H63" s="67" t="s">
        <v>126</v>
      </c>
      <c r="I63" s="67">
        <v>1</v>
      </c>
      <c r="N63" s="67">
        <f t="shared" si="3"/>
        <v>0</v>
      </c>
      <c r="O63" s="55">
        <f t="shared" si="2"/>
        <v>16.1</v>
      </c>
      <c r="P63" s="67" t="s">
        <v>123</v>
      </c>
      <c r="R63" s="67">
        <v>1</v>
      </c>
      <c r="AK63" s="67">
        <v>3</v>
      </c>
      <c r="AQ63" s="67">
        <v>1</v>
      </c>
      <c r="BS63" s="67">
        <v>2</v>
      </c>
      <c r="CK63" s="67"/>
      <c r="CV63" s="67">
        <v>1</v>
      </c>
      <c r="DM63" s="59"/>
    </row>
    <row r="64" spans="1:117" ht="15">
      <c r="A64" s="67">
        <v>3040</v>
      </c>
      <c r="B64" s="67" t="s">
        <v>131</v>
      </c>
      <c r="C64" s="67">
        <v>31</v>
      </c>
      <c r="D64" s="68" t="s">
        <v>359</v>
      </c>
      <c r="E64" s="67" t="s">
        <v>199</v>
      </c>
      <c r="F64" s="55">
        <v>14.1</v>
      </c>
      <c r="G64" s="55">
        <f>'Tabulka-přehled'!$I64+'Tabulka-přehled'!$F64</f>
        <v>15.1</v>
      </c>
      <c r="H64" s="67" t="s">
        <v>126</v>
      </c>
      <c r="I64" s="67">
        <v>1</v>
      </c>
      <c r="N64" s="67">
        <f t="shared" si="3"/>
        <v>0</v>
      </c>
      <c r="O64" s="55">
        <f t="shared" si="2"/>
        <v>15.1</v>
      </c>
      <c r="P64" s="67" t="s">
        <v>123</v>
      </c>
      <c r="R64" s="67">
        <v>1</v>
      </c>
      <c r="AK64" s="67">
        <v>3</v>
      </c>
      <c r="AQ64" s="67">
        <v>1</v>
      </c>
      <c r="BS64" s="67">
        <v>2</v>
      </c>
      <c r="CK64" s="67"/>
      <c r="CV64" s="67">
        <v>1</v>
      </c>
      <c r="DM64" s="59"/>
    </row>
    <row r="65" spans="1:117" ht="15">
      <c r="A65" s="67">
        <v>3050</v>
      </c>
      <c r="B65" s="67" t="s">
        <v>131</v>
      </c>
      <c r="C65" s="67">
        <v>31</v>
      </c>
      <c r="D65" s="68" t="s">
        <v>359</v>
      </c>
      <c r="E65" s="67" t="s">
        <v>200</v>
      </c>
      <c r="F65" s="55">
        <v>26.15</v>
      </c>
      <c r="G65" s="55">
        <f>'Tabulka-přehled'!$I65+'Tabulka-přehled'!$F65</f>
        <v>26.15</v>
      </c>
      <c r="N65" s="67">
        <f t="shared" si="3"/>
        <v>0</v>
      </c>
      <c r="O65" s="55">
        <f t="shared" si="2"/>
        <v>26.15</v>
      </c>
      <c r="P65" s="67" t="s">
        <v>123</v>
      </c>
      <c r="R65" s="67">
        <v>2</v>
      </c>
      <c r="AK65" s="67">
        <v>6</v>
      </c>
      <c r="AQ65" s="67">
        <v>1</v>
      </c>
      <c r="BV65" s="67">
        <v>1</v>
      </c>
      <c r="CK65" s="67"/>
      <c r="CV65" s="67">
        <v>2</v>
      </c>
      <c r="DM65" s="59"/>
    </row>
    <row r="66" spans="1:117" ht="15">
      <c r="A66" s="67">
        <v>3060</v>
      </c>
      <c r="B66" s="67" t="s">
        <v>131</v>
      </c>
      <c r="C66" s="67">
        <v>31</v>
      </c>
      <c r="D66" s="68" t="s">
        <v>359</v>
      </c>
      <c r="E66" s="67" t="s">
        <v>201</v>
      </c>
      <c r="F66" s="55">
        <v>14.2</v>
      </c>
      <c r="G66" s="55">
        <f>'Tabulka-přehled'!$I66+'Tabulka-přehled'!$F66</f>
        <v>14.6</v>
      </c>
      <c r="H66" s="67" t="s">
        <v>126</v>
      </c>
      <c r="I66" s="67">
        <v>0.4</v>
      </c>
      <c r="N66" s="67">
        <f t="shared" si="3"/>
        <v>0</v>
      </c>
      <c r="O66" s="55">
        <f t="shared" si="2"/>
        <v>14.6</v>
      </c>
      <c r="P66" s="67" t="s">
        <v>123</v>
      </c>
      <c r="R66" s="67">
        <v>1</v>
      </c>
      <c r="AK66" s="67">
        <v>3</v>
      </c>
      <c r="AQ66" s="67">
        <v>1</v>
      </c>
      <c r="BT66" s="67">
        <v>1</v>
      </c>
      <c r="CK66" s="67"/>
      <c r="CV66" s="67">
        <v>1</v>
      </c>
      <c r="DM66" s="59"/>
    </row>
    <row r="67" spans="1:117" ht="15">
      <c r="A67" s="67">
        <v>3070</v>
      </c>
      <c r="B67" s="67" t="s">
        <v>131</v>
      </c>
      <c r="C67" s="67">
        <v>31</v>
      </c>
      <c r="D67" s="68" t="s">
        <v>359</v>
      </c>
      <c r="E67" s="67" t="s">
        <v>202</v>
      </c>
      <c r="F67" s="55">
        <v>27.7</v>
      </c>
      <c r="G67" s="55">
        <f>'Tabulka-přehled'!$I67+'Tabulka-přehled'!$F67</f>
        <v>28.099999999999998</v>
      </c>
      <c r="H67" s="67" t="s">
        <v>126</v>
      </c>
      <c r="I67" s="67">
        <v>0.4</v>
      </c>
      <c r="N67" s="67">
        <f t="shared" si="3"/>
        <v>0</v>
      </c>
      <c r="O67" s="55">
        <f aca="true" t="shared" si="4" ref="O67:O98">F67+I67-N67</f>
        <v>28.099999999999998</v>
      </c>
      <c r="P67" s="67" t="s">
        <v>123</v>
      </c>
      <c r="R67" s="67">
        <v>2</v>
      </c>
      <c r="AK67" s="67">
        <v>6</v>
      </c>
      <c r="AQ67" s="67">
        <v>1</v>
      </c>
      <c r="AV67" s="67">
        <v>1</v>
      </c>
      <c r="BS67" s="67">
        <v>1</v>
      </c>
      <c r="BT67" s="67">
        <v>2</v>
      </c>
      <c r="CK67" s="67"/>
      <c r="CV67" s="67">
        <v>2</v>
      </c>
      <c r="DM67" s="59"/>
    </row>
    <row r="68" spans="1:117" ht="15">
      <c r="A68" s="67">
        <v>3080</v>
      </c>
      <c r="B68" s="67" t="s">
        <v>131</v>
      </c>
      <c r="C68" s="67">
        <v>31</v>
      </c>
      <c r="D68" s="68" t="s">
        <v>359</v>
      </c>
      <c r="E68" s="67" t="s">
        <v>203</v>
      </c>
      <c r="F68" s="55">
        <v>25.75</v>
      </c>
      <c r="G68" s="55">
        <f>'Tabulka-přehled'!$I68+'Tabulka-přehled'!$F68</f>
        <v>26.15</v>
      </c>
      <c r="H68" s="67" t="s">
        <v>126</v>
      </c>
      <c r="I68" s="67">
        <v>0.4</v>
      </c>
      <c r="N68" s="67">
        <f t="shared" si="3"/>
        <v>0</v>
      </c>
      <c r="O68" s="55">
        <f t="shared" si="4"/>
        <v>26.15</v>
      </c>
      <c r="P68" s="67" t="s">
        <v>123</v>
      </c>
      <c r="R68" s="67">
        <v>2</v>
      </c>
      <c r="AK68" s="67">
        <v>6</v>
      </c>
      <c r="AQ68" s="67">
        <v>1</v>
      </c>
      <c r="BV68" s="67">
        <v>1</v>
      </c>
      <c r="CK68" s="67"/>
      <c r="CV68" s="67">
        <v>2</v>
      </c>
      <c r="DM68" s="59"/>
    </row>
    <row r="69" spans="1:117" ht="15">
      <c r="A69" s="67">
        <v>3090</v>
      </c>
      <c r="B69" s="67" t="s">
        <v>131</v>
      </c>
      <c r="C69" s="67">
        <v>31</v>
      </c>
      <c r="D69" s="68" t="s">
        <v>359</v>
      </c>
      <c r="E69" s="67" t="s">
        <v>204</v>
      </c>
      <c r="F69" s="55">
        <v>17.6</v>
      </c>
      <c r="G69" s="55">
        <f>'Tabulka-přehled'!$I69+'Tabulka-přehled'!$F69</f>
        <v>18</v>
      </c>
      <c r="H69" s="67" t="s">
        <v>126</v>
      </c>
      <c r="I69" s="67">
        <v>0.4</v>
      </c>
      <c r="N69" s="67">
        <f t="shared" si="3"/>
        <v>0</v>
      </c>
      <c r="O69" s="55">
        <f t="shared" si="4"/>
        <v>18</v>
      </c>
      <c r="P69" s="67" t="s">
        <v>123</v>
      </c>
      <c r="R69" s="67">
        <v>1</v>
      </c>
      <c r="AK69" s="67">
        <v>3</v>
      </c>
      <c r="AQ69" s="67">
        <v>1</v>
      </c>
      <c r="BT69" s="67">
        <v>1</v>
      </c>
      <c r="CK69" s="67"/>
      <c r="DC69" s="67">
        <v>1</v>
      </c>
      <c r="DM69" s="59"/>
    </row>
    <row r="70" spans="1:117" ht="15">
      <c r="A70" s="67">
        <v>3100</v>
      </c>
      <c r="B70" s="67" t="s">
        <v>131</v>
      </c>
      <c r="C70" s="67">
        <v>31</v>
      </c>
      <c r="D70" s="68" t="s">
        <v>359</v>
      </c>
      <c r="E70" s="67" t="s">
        <v>205</v>
      </c>
      <c r="F70" s="55">
        <v>7.8</v>
      </c>
      <c r="G70" s="55">
        <f>'Tabulka-přehled'!$I70+'Tabulka-přehled'!$F70</f>
        <v>8.8</v>
      </c>
      <c r="H70" s="67" t="s">
        <v>126</v>
      </c>
      <c r="I70" s="67">
        <v>1</v>
      </c>
      <c r="N70" s="67">
        <f t="shared" si="3"/>
        <v>0</v>
      </c>
      <c r="O70" s="55">
        <f t="shared" si="4"/>
        <v>8.8</v>
      </c>
      <c r="P70" s="67" t="s">
        <v>123</v>
      </c>
      <c r="R70" s="67">
        <v>1</v>
      </c>
      <c r="AK70" s="67">
        <v>3</v>
      </c>
      <c r="AQ70" s="67">
        <v>1</v>
      </c>
      <c r="AV70" s="67">
        <v>1</v>
      </c>
      <c r="BU70" s="67">
        <v>2</v>
      </c>
      <c r="CK70" s="67"/>
      <c r="DD70" s="67">
        <v>1</v>
      </c>
      <c r="DM70" s="59"/>
    </row>
    <row r="71" spans="1:117" ht="15">
      <c r="A71" s="67">
        <v>3110</v>
      </c>
      <c r="B71" s="67" t="s">
        <v>131</v>
      </c>
      <c r="C71" s="67">
        <v>31</v>
      </c>
      <c r="D71" s="68" t="s">
        <v>359</v>
      </c>
      <c r="E71" s="67" t="s">
        <v>206</v>
      </c>
      <c r="F71" s="55">
        <v>17.6</v>
      </c>
      <c r="G71" s="55">
        <f>'Tabulka-přehled'!$I71+'Tabulka-přehled'!$F71</f>
        <v>18.6</v>
      </c>
      <c r="H71" s="67" t="s">
        <v>126</v>
      </c>
      <c r="I71" s="67">
        <v>1</v>
      </c>
      <c r="N71" s="67">
        <f t="shared" si="3"/>
        <v>0</v>
      </c>
      <c r="O71" s="55">
        <f t="shared" si="4"/>
        <v>18.6</v>
      </c>
      <c r="P71" s="67" t="s">
        <v>123</v>
      </c>
      <c r="R71" s="67">
        <v>1</v>
      </c>
      <c r="AK71" s="67">
        <v>3</v>
      </c>
      <c r="BE71" s="67">
        <v>1</v>
      </c>
      <c r="BS71" s="67">
        <v>2</v>
      </c>
      <c r="CK71" s="67"/>
      <c r="CL71" s="67">
        <v>1</v>
      </c>
      <c r="DM71" s="59"/>
    </row>
    <row r="72" spans="1:117" ht="15">
      <c r="A72" s="67">
        <v>3120</v>
      </c>
      <c r="B72" s="67" t="s">
        <v>131</v>
      </c>
      <c r="C72" s="67">
        <v>31</v>
      </c>
      <c r="D72" s="68" t="s">
        <v>359</v>
      </c>
      <c r="E72" s="67" t="s">
        <v>207</v>
      </c>
      <c r="F72" s="55">
        <v>14.1</v>
      </c>
      <c r="G72" s="55">
        <f>'Tabulka-přehled'!$I72+'Tabulka-přehled'!$F72</f>
        <v>14.5</v>
      </c>
      <c r="H72" s="67" t="s">
        <v>126</v>
      </c>
      <c r="I72" s="67">
        <v>0.4</v>
      </c>
      <c r="N72" s="67">
        <f t="shared" si="3"/>
        <v>0</v>
      </c>
      <c r="O72" s="55">
        <f t="shared" si="4"/>
        <v>14.5</v>
      </c>
      <c r="P72" s="67" t="s">
        <v>123</v>
      </c>
      <c r="R72" s="67">
        <v>1</v>
      </c>
      <c r="AK72" s="67">
        <v>3</v>
      </c>
      <c r="AQ72" s="67">
        <v>1</v>
      </c>
      <c r="BS72" s="67">
        <v>2</v>
      </c>
      <c r="CF72" s="67">
        <v>1</v>
      </c>
      <c r="CK72" s="67"/>
      <c r="CL72" s="67">
        <v>1</v>
      </c>
      <c r="DM72" s="59"/>
    </row>
    <row r="73" spans="1:117" ht="15">
      <c r="A73" s="67">
        <v>3130</v>
      </c>
      <c r="B73" s="67" t="s">
        <v>131</v>
      </c>
      <c r="C73" s="67">
        <v>31</v>
      </c>
      <c r="D73" s="68" t="s">
        <v>359</v>
      </c>
      <c r="E73" s="67" t="s">
        <v>208</v>
      </c>
      <c r="F73" s="55">
        <v>25.9</v>
      </c>
      <c r="G73" s="55">
        <f>'Tabulka-přehled'!$I73+'Tabulka-přehled'!$F73</f>
        <v>25.9</v>
      </c>
      <c r="N73" s="67">
        <f t="shared" si="3"/>
        <v>0</v>
      </c>
      <c r="O73" s="55">
        <f t="shared" si="4"/>
        <v>25.9</v>
      </c>
      <c r="P73" s="67" t="s">
        <v>123</v>
      </c>
      <c r="R73" s="67">
        <v>2</v>
      </c>
      <c r="AK73" s="67">
        <v>6</v>
      </c>
      <c r="AQ73" s="67">
        <v>1</v>
      </c>
      <c r="BT73" s="67">
        <v>3</v>
      </c>
      <c r="CK73" s="67"/>
      <c r="CV73" s="67">
        <v>2</v>
      </c>
      <c r="DM73" s="59"/>
    </row>
    <row r="74" spans="1:117" ht="15">
      <c r="A74" s="67">
        <v>3140</v>
      </c>
      <c r="B74" s="67" t="s">
        <v>131</v>
      </c>
      <c r="C74" s="67">
        <v>31</v>
      </c>
      <c r="D74" s="68" t="s">
        <v>359</v>
      </c>
      <c r="E74" s="67" t="s">
        <v>209</v>
      </c>
      <c r="F74" s="55">
        <v>14.6</v>
      </c>
      <c r="G74" s="55">
        <f>'Tabulka-přehled'!$I74+'Tabulka-přehled'!$F74</f>
        <v>15</v>
      </c>
      <c r="H74" s="67" t="s">
        <v>126</v>
      </c>
      <c r="I74" s="67">
        <v>0.4</v>
      </c>
      <c r="N74" s="67">
        <f t="shared" si="3"/>
        <v>0</v>
      </c>
      <c r="O74" s="55">
        <f t="shared" si="4"/>
        <v>15</v>
      </c>
      <c r="P74" s="67" t="s">
        <v>123</v>
      </c>
      <c r="R74" s="67">
        <v>1</v>
      </c>
      <c r="AK74" s="67">
        <v>3</v>
      </c>
      <c r="AQ74" s="67">
        <v>1</v>
      </c>
      <c r="AV74" s="67">
        <v>1</v>
      </c>
      <c r="BS74" s="67">
        <v>2</v>
      </c>
      <c r="CK74" s="67"/>
      <c r="CL74" s="67">
        <v>1</v>
      </c>
      <c r="DM74" s="59"/>
    </row>
    <row r="75" spans="1:117" ht="15">
      <c r="A75" s="67">
        <v>3150</v>
      </c>
      <c r="B75" s="67" t="s">
        <v>131</v>
      </c>
      <c r="C75" s="67">
        <v>31</v>
      </c>
      <c r="D75" s="68" t="s">
        <v>359</v>
      </c>
      <c r="E75" s="67" t="s">
        <v>210</v>
      </c>
      <c r="F75" s="55">
        <v>29.6</v>
      </c>
      <c r="G75" s="55">
        <f>'Tabulka-přehled'!$I75+'Tabulka-přehled'!$F75</f>
        <v>30</v>
      </c>
      <c r="H75" s="67" t="s">
        <v>126</v>
      </c>
      <c r="I75" s="67">
        <v>0.4</v>
      </c>
      <c r="N75" s="67">
        <f t="shared" si="3"/>
        <v>0</v>
      </c>
      <c r="O75" s="55">
        <f t="shared" si="4"/>
        <v>30</v>
      </c>
      <c r="P75" s="67" t="s">
        <v>123</v>
      </c>
      <c r="R75" s="67">
        <v>2</v>
      </c>
      <c r="AK75" s="67">
        <v>0</v>
      </c>
      <c r="AP75" s="67">
        <v>1</v>
      </c>
      <c r="AR75" s="67">
        <v>1</v>
      </c>
      <c r="BS75" s="67">
        <v>4</v>
      </c>
      <c r="CK75" s="67"/>
      <c r="CV75" s="67">
        <v>2</v>
      </c>
      <c r="DM75" s="59"/>
    </row>
    <row r="76" spans="1:117" ht="15">
      <c r="A76" s="67">
        <v>3160</v>
      </c>
      <c r="B76" s="67" t="s">
        <v>150</v>
      </c>
      <c r="C76" s="67">
        <v>31</v>
      </c>
      <c r="D76" s="67" t="s">
        <v>1</v>
      </c>
      <c r="E76" s="67" t="s">
        <v>151</v>
      </c>
      <c r="F76" s="55">
        <v>13</v>
      </c>
      <c r="G76" s="55">
        <f>'Tabulka-přehled'!$I76+'Tabulka-přehled'!$F76</f>
        <v>13.4</v>
      </c>
      <c r="H76" s="67" t="s">
        <v>126</v>
      </c>
      <c r="I76" s="67">
        <v>0.4</v>
      </c>
      <c r="N76" s="67">
        <f t="shared" si="3"/>
        <v>0</v>
      </c>
      <c r="O76" s="55">
        <f t="shared" si="4"/>
        <v>13.4</v>
      </c>
      <c r="P76" s="67" t="s">
        <v>114</v>
      </c>
      <c r="R76" s="67">
        <v>1</v>
      </c>
      <c r="AK76" s="67">
        <v>3</v>
      </c>
      <c r="AZ76" s="67">
        <v>3</v>
      </c>
      <c r="CC76" s="67">
        <v>8</v>
      </c>
      <c r="CH76" s="67">
        <v>1</v>
      </c>
      <c r="CK76" s="67"/>
      <c r="CX76" s="67">
        <v>1</v>
      </c>
      <c r="DM76" s="59"/>
    </row>
    <row r="77" spans="1:117" ht="15">
      <c r="A77" s="67">
        <v>3170</v>
      </c>
      <c r="B77" s="67" t="s">
        <v>360</v>
      </c>
      <c r="C77" s="67">
        <v>31</v>
      </c>
      <c r="D77" s="67" t="s">
        <v>3</v>
      </c>
      <c r="E77" s="67" t="s">
        <v>153</v>
      </c>
      <c r="F77" s="55">
        <v>2.9</v>
      </c>
      <c r="G77" s="55">
        <f>'Tabulka-přehled'!$I77+'Tabulka-přehled'!$F77</f>
        <v>3.3</v>
      </c>
      <c r="H77" s="67" t="s">
        <v>126</v>
      </c>
      <c r="I77" s="67">
        <v>0.4</v>
      </c>
      <c r="N77" s="67">
        <f t="shared" si="3"/>
        <v>0</v>
      </c>
      <c r="O77" s="55">
        <f t="shared" si="4"/>
        <v>3.3</v>
      </c>
      <c r="P77" s="67" t="s">
        <v>114</v>
      </c>
      <c r="CB77" s="67">
        <v>1</v>
      </c>
      <c r="CK77" s="67"/>
      <c r="DM77" s="59"/>
    </row>
    <row r="78" spans="1:117" ht="15">
      <c r="A78" s="67">
        <v>3180</v>
      </c>
      <c r="B78" s="67" t="s">
        <v>131</v>
      </c>
      <c r="C78" s="67">
        <v>30</v>
      </c>
      <c r="D78" s="67" t="s">
        <v>359</v>
      </c>
      <c r="E78" s="67" t="s">
        <v>211</v>
      </c>
      <c r="F78" s="55">
        <v>16.5</v>
      </c>
      <c r="G78" s="55">
        <f>'Tabulka-přehled'!$I78+'Tabulka-přehled'!$F78</f>
        <v>16.9</v>
      </c>
      <c r="H78" s="67" t="s">
        <v>126</v>
      </c>
      <c r="I78" s="67">
        <v>0.4</v>
      </c>
      <c r="N78" s="67">
        <f t="shared" si="3"/>
        <v>0</v>
      </c>
      <c r="O78" s="55">
        <f t="shared" si="4"/>
        <v>16.9</v>
      </c>
      <c r="P78" s="67" t="s">
        <v>123</v>
      </c>
      <c r="R78" s="67">
        <v>1</v>
      </c>
      <c r="AK78" s="67">
        <v>3</v>
      </c>
      <c r="AQ78" s="67">
        <v>1</v>
      </c>
      <c r="BS78" s="67">
        <v>2</v>
      </c>
      <c r="CK78" s="67"/>
      <c r="CV78" s="67">
        <v>1</v>
      </c>
      <c r="DM78" s="59"/>
    </row>
    <row r="79" spans="1:117" ht="15">
      <c r="A79" s="67">
        <v>3190</v>
      </c>
      <c r="B79" s="67" t="s">
        <v>131</v>
      </c>
      <c r="C79" s="67">
        <v>30</v>
      </c>
      <c r="D79" s="68" t="s">
        <v>359</v>
      </c>
      <c r="E79" s="67" t="s">
        <v>212</v>
      </c>
      <c r="F79" s="55">
        <v>12.1</v>
      </c>
      <c r="G79" s="55">
        <f>'Tabulka-přehled'!$I79+'Tabulka-přehled'!$F79</f>
        <v>12.5</v>
      </c>
      <c r="H79" s="67" t="s">
        <v>126</v>
      </c>
      <c r="I79" s="67">
        <v>0.4</v>
      </c>
      <c r="N79" s="67">
        <f t="shared" si="3"/>
        <v>0</v>
      </c>
      <c r="O79" s="55">
        <f t="shared" si="4"/>
        <v>12.5</v>
      </c>
      <c r="P79" s="67" t="s">
        <v>123</v>
      </c>
      <c r="R79" s="67">
        <v>1</v>
      </c>
      <c r="AK79" s="67">
        <v>3</v>
      </c>
      <c r="AQ79" s="67">
        <v>1</v>
      </c>
      <c r="AV79" s="67">
        <v>1</v>
      </c>
      <c r="CK79" s="67"/>
      <c r="DM79" s="59"/>
    </row>
    <row r="80" spans="1:117" ht="15">
      <c r="A80" s="67">
        <v>3200</v>
      </c>
      <c r="B80" s="67" t="s">
        <v>131</v>
      </c>
      <c r="C80" s="67">
        <v>30</v>
      </c>
      <c r="D80" s="68" t="s">
        <v>359</v>
      </c>
      <c r="E80" s="67" t="s">
        <v>213</v>
      </c>
      <c r="F80" s="55">
        <v>27.5</v>
      </c>
      <c r="G80" s="55">
        <f>'Tabulka-přehled'!$I80+'Tabulka-přehled'!$F80</f>
        <v>27.9</v>
      </c>
      <c r="H80" s="67" t="s">
        <v>126</v>
      </c>
      <c r="I80" s="67">
        <v>0.4</v>
      </c>
      <c r="N80" s="67">
        <f t="shared" si="3"/>
        <v>0</v>
      </c>
      <c r="O80" s="55">
        <f t="shared" si="4"/>
        <v>27.9</v>
      </c>
      <c r="P80" s="67" t="s">
        <v>120</v>
      </c>
      <c r="R80" s="67">
        <v>2</v>
      </c>
      <c r="AK80" s="67">
        <v>6</v>
      </c>
      <c r="AQ80" s="67">
        <v>1</v>
      </c>
      <c r="BS80" s="67">
        <v>1</v>
      </c>
      <c r="BT80" s="67">
        <v>1</v>
      </c>
      <c r="CK80" s="67"/>
      <c r="CV80" s="67">
        <v>2</v>
      </c>
      <c r="DM80" s="59"/>
    </row>
    <row r="81" spans="1:117" ht="15">
      <c r="A81" s="67">
        <v>3210</v>
      </c>
      <c r="B81" s="67" t="s">
        <v>131</v>
      </c>
      <c r="C81" s="67">
        <v>31</v>
      </c>
      <c r="D81" s="68" t="s">
        <v>359</v>
      </c>
      <c r="E81" s="67" t="s">
        <v>214</v>
      </c>
      <c r="F81" s="55">
        <f>5*2.9</f>
        <v>14.5</v>
      </c>
      <c r="G81" s="55">
        <f>'Tabulka-přehled'!$I81+'Tabulka-přehled'!$F81</f>
        <v>14.9</v>
      </c>
      <c r="H81" s="67" t="s">
        <v>126</v>
      </c>
      <c r="I81" s="67">
        <v>0.4</v>
      </c>
      <c r="N81" s="67">
        <f t="shared" si="3"/>
        <v>0</v>
      </c>
      <c r="O81" s="55">
        <f t="shared" si="4"/>
        <v>14.9</v>
      </c>
      <c r="P81" s="67" t="s">
        <v>123</v>
      </c>
      <c r="R81" s="67">
        <v>1</v>
      </c>
      <c r="AK81" s="67">
        <v>3</v>
      </c>
      <c r="AP81" s="67">
        <v>1</v>
      </c>
      <c r="BT81" s="67">
        <v>1</v>
      </c>
      <c r="CK81" s="67"/>
      <c r="CV81" s="67">
        <v>1</v>
      </c>
      <c r="DM81" s="59"/>
    </row>
    <row r="82" spans="1:117" ht="15">
      <c r="A82" s="67">
        <v>3220</v>
      </c>
      <c r="B82" s="67" t="s">
        <v>131</v>
      </c>
      <c r="C82" s="67">
        <v>30</v>
      </c>
      <c r="D82" s="68" t="s">
        <v>359</v>
      </c>
      <c r="E82" s="67" t="s">
        <v>215</v>
      </c>
      <c r="F82" s="55">
        <v>27.6</v>
      </c>
      <c r="G82" s="55">
        <f>'Tabulka-přehled'!$I82+'Tabulka-přehled'!$F82</f>
        <v>28.400000000000002</v>
      </c>
      <c r="H82" s="67" t="s">
        <v>216</v>
      </c>
      <c r="I82" s="67">
        <v>0.8</v>
      </c>
      <c r="N82" s="67">
        <f t="shared" si="3"/>
        <v>0</v>
      </c>
      <c r="O82" s="55">
        <f t="shared" si="4"/>
        <v>28.400000000000002</v>
      </c>
      <c r="P82" s="67" t="s">
        <v>123</v>
      </c>
      <c r="R82" s="67">
        <v>2</v>
      </c>
      <c r="AK82" s="67">
        <v>6</v>
      </c>
      <c r="AQ82" s="67">
        <v>2</v>
      </c>
      <c r="BT82" s="67">
        <v>2</v>
      </c>
      <c r="CK82" s="67"/>
      <c r="CV82" s="67">
        <v>1</v>
      </c>
      <c r="DM82" s="59"/>
    </row>
    <row r="83" spans="1:117" ht="15">
      <c r="A83" s="67">
        <v>3230</v>
      </c>
      <c r="B83" s="67" t="s">
        <v>131</v>
      </c>
      <c r="C83" s="67">
        <v>31</v>
      </c>
      <c r="D83" s="68" t="s">
        <v>359</v>
      </c>
      <c r="E83" s="67" t="s">
        <v>217</v>
      </c>
      <c r="F83" s="55">
        <v>12.9</v>
      </c>
      <c r="G83" s="55">
        <f>'Tabulka-přehled'!$I83+'Tabulka-přehled'!$F83</f>
        <v>13.9</v>
      </c>
      <c r="H83" s="67" t="s">
        <v>126</v>
      </c>
      <c r="I83" s="67">
        <v>1</v>
      </c>
      <c r="N83" s="67">
        <f t="shared" si="3"/>
        <v>0</v>
      </c>
      <c r="O83" s="55">
        <f t="shared" si="4"/>
        <v>13.9</v>
      </c>
      <c r="P83" s="67" t="s">
        <v>123</v>
      </c>
      <c r="R83" s="67">
        <v>1</v>
      </c>
      <c r="AK83" s="67">
        <v>3</v>
      </c>
      <c r="AQ83" s="67">
        <v>1</v>
      </c>
      <c r="BS83" s="67">
        <v>1</v>
      </c>
      <c r="CK83" s="67"/>
      <c r="CV83" s="67">
        <v>1</v>
      </c>
      <c r="DM83" s="59"/>
    </row>
    <row r="84" spans="1:117" ht="15">
      <c r="A84" s="67">
        <v>3240</v>
      </c>
      <c r="B84" s="67" t="s">
        <v>131</v>
      </c>
      <c r="C84" s="67">
        <v>31</v>
      </c>
      <c r="D84" s="68" t="s">
        <v>1</v>
      </c>
      <c r="E84" s="67" t="s">
        <v>218</v>
      </c>
      <c r="F84" s="55">
        <v>26</v>
      </c>
      <c r="G84" s="55">
        <f>'Tabulka-přehled'!$I84+'Tabulka-přehled'!$F84</f>
        <v>26</v>
      </c>
      <c r="J84" s="67" t="s">
        <v>219</v>
      </c>
      <c r="N84" s="67">
        <f t="shared" si="3"/>
        <v>0</v>
      </c>
      <c r="O84" s="55">
        <f t="shared" si="4"/>
        <v>26</v>
      </c>
      <c r="P84" s="67" t="s">
        <v>123</v>
      </c>
      <c r="R84" s="67">
        <v>2</v>
      </c>
      <c r="AK84" s="67">
        <v>6</v>
      </c>
      <c r="AQ84" s="67">
        <v>1</v>
      </c>
      <c r="BT84" s="67">
        <v>1</v>
      </c>
      <c r="CK84" s="67"/>
      <c r="CX84" s="67">
        <v>2</v>
      </c>
      <c r="DM84" s="59"/>
    </row>
    <row r="85" spans="1:117" ht="15">
      <c r="A85" s="67">
        <v>3250</v>
      </c>
      <c r="B85" s="67" t="s">
        <v>131</v>
      </c>
      <c r="C85" s="67">
        <v>31</v>
      </c>
      <c r="D85" s="68" t="s">
        <v>1</v>
      </c>
      <c r="E85" s="67" t="s">
        <v>220</v>
      </c>
      <c r="F85" s="55">
        <v>15.6</v>
      </c>
      <c r="G85" s="55">
        <f>'Tabulka-přehled'!$I85+'Tabulka-přehled'!$F85</f>
        <v>15.6</v>
      </c>
      <c r="J85" s="67" t="s">
        <v>219</v>
      </c>
      <c r="N85" s="67">
        <f t="shared" si="3"/>
        <v>0</v>
      </c>
      <c r="O85" s="55">
        <f t="shared" si="4"/>
        <v>15.6</v>
      </c>
      <c r="P85" s="67" t="s">
        <v>123</v>
      </c>
      <c r="R85" s="67">
        <v>1</v>
      </c>
      <c r="AK85" s="67">
        <v>3</v>
      </c>
      <c r="AV85" s="67">
        <v>1</v>
      </c>
      <c r="BT85" s="67">
        <v>1</v>
      </c>
      <c r="CK85" s="67"/>
      <c r="CV85" s="67">
        <v>1</v>
      </c>
      <c r="DM85" s="59"/>
    </row>
    <row r="86" spans="1:117" ht="15">
      <c r="A86" s="67">
        <v>3260</v>
      </c>
      <c r="B86" s="67" t="s">
        <v>131</v>
      </c>
      <c r="C86" s="67">
        <v>31</v>
      </c>
      <c r="D86" s="68" t="s">
        <v>1</v>
      </c>
      <c r="E86" s="67" t="s">
        <v>221</v>
      </c>
      <c r="F86" s="55">
        <v>13.85</v>
      </c>
      <c r="G86" s="55">
        <f>'Tabulka-přehled'!$I86+'Tabulka-přehled'!$F86</f>
        <v>13.85</v>
      </c>
      <c r="J86" s="67" t="s">
        <v>219</v>
      </c>
      <c r="K86" s="67">
        <v>3</v>
      </c>
      <c r="N86" s="67">
        <f t="shared" si="3"/>
        <v>1.1280000000000001</v>
      </c>
      <c r="O86" s="55">
        <f t="shared" si="4"/>
        <v>12.722</v>
      </c>
      <c r="P86" s="67" t="s">
        <v>123</v>
      </c>
      <c r="R86" s="67">
        <v>1</v>
      </c>
      <c r="AK86" s="67">
        <v>3</v>
      </c>
      <c r="AV86" s="67">
        <v>1</v>
      </c>
      <c r="BT86" s="67">
        <v>1</v>
      </c>
      <c r="CK86" s="67"/>
      <c r="CV86" s="67">
        <v>1</v>
      </c>
      <c r="DM86" s="59"/>
    </row>
    <row r="87" spans="1:117" ht="15">
      <c r="A87" s="67">
        <v>3270</v>
      </c>
      <c r="B87" s="67" t="s">
        <v>131</v>
      </c>
      <c r="C87" s="67">
        <v>31</v>
      </c>
      <c r="D87" s="68" t="s">
        <v>1</v>
      </c>
      <c r="E87" s="67" t="s">
        <v>222</v>
      </c>
      <c r="F87" s="55">
        <f>0.98*5.08</f>
        <v>4.9784</v>
      </c>
      <c r="G87" s="55">
        <f>'Tabulka-přehled'!$I87+'Tabulka-přehled'!$F87</f>
        <v>4.9784</v>
      </c>
      <c r="J87" s="67" t="s">
        <v>219</v>
      </c>
      <c r="K87" s="67">
        <v>4</v>
      </c>
      <c r="N87" s="67">
        <f t="shared" si="3"/>
        <v>1.504</v>
      </c>
      <c r="O87" s="55">
        <f t="shared" si="4"/>
        <v>3.4743999999999997</v>
      </c>
      <c r="P87" s="67" t="s">
        <v>123</v>
      </c>
      <c r="R87" s="67">
        <v>1</v>
      </c>
      <c r="AK87" s="67">
        <v>3</v>
      </c>
      <c r="AV87" s="67">
        <v>1</v>
      </c>
      <c r="BS87" s="67">
        <v>1</v>
      </c>
      <c r="CK87" s="67"/>
      <c r="DC87" s="67">
        <v>1</v>
      </c>
      <c r="DM87" s="59"/>
    </row>
    <row r="88" spans="1:117" ht="15">
      <c r="A88" s="67">
        <v>3280</v>
      </c>
      <c r="B88" s="67" t="s">
        <v>131</v>
      </c>
      <c r="C88" s="67">
        <v>31</v>
      </c>
      <c r="D88" s="68" t="s">
        <v>1</v>
      </c>
      <c r="E88" s="67" t="s">
        <v>223</v>
      </c>
      <c r="F88" s="55">
        <f>5.96*2.41</f>
        <v>14.3636</v>
      </c>
      <c r="G88" s="55">
        <f>'Tabulka-přehled'!$I88+'Tabulka-přehled'!$F88</f>
        <v>14.3636</v>
      </c>
      <c r="J88" s="67" t="s">
        <v>219</v>
      </c>
      <c r="K88" s="67">
        <v>2</v>
      </c>
      <c r="N88" s="67">
        <f t="shared" si="3"/>
        <v>0.752</v>
      </c>
      <c r="O88" s="55">
        <f t="shared" si="4"/>
        <v>13.6116</v>
      </c>
      <c r="P88" s="67" t="s">
        <v>123</v>
      </c>
      <c r="R88" s="67">
        <v>2</v>
      </c>
      <c r="AK88" s="67">
        <v>6</v>
      </c>
      <c r="AP88" s="67">
        <v>1</v>
      </c>
      <c r="AV88" s="67">
        <v>1</v>
      </c>
      <c r="BT88" s="67">
        <v>1</v>
      </c>
      <c r="CK88" s="67"/>
      <c r="DF88" s="67">
        <v>2</v>
      </c>
      <c r="DM88" s="59"/>
    </row>
    <row r="89" spans="1:117" ht="15">
      <c r="A89" s="67">
        <v>3290</v>
      </c>
      <c r="B89" s="67" t="s">
        <v>150</v>
      </c>
      <c r="C89" s="67">
        <v>31</v>
      </c>
      <c r="D89" s="67" t="s">
        <v>1</v>
      </c>
      <c r="E89" s="67" t="s">
        <v>171</v>
      </c>
      <c r="F89" s="55">
        <v>13.2</v>
      </c>
      <c r="G89" s="55">
        <f>'Tabulka-přehled'!$I89+'Tabulka-přehled'!$F89</f>
        <v>13.2</v>
      </c>
      <c r="N89" s="67">
        <f t="shared" si="3"/>
        <v>0</v>
      </c>
      <c r="O89" s="55">
        <f t="shared" si="4"/>
        <v>13.2</v>
      </c>
      <c r="P89" s="67" t="s">
        <v>114</v>
      </c>
      <c r="R89" s="67">
        <v>1</v>
      </c>
      <c r="AK89" s="67">
        <v>3</v>
      </c>
      <c r="BA89" s="67">
        <v>4</v>
      </c>
      <c r="CC89" s="67">
        <v>9</v>
      </c>
      <c r="CH89" s="67" t="s">
        <v>224</v>
      </c>
      <c r="CK89" s="67"/>
      <c r="DA89" s="67">
        <v>1</v>
      </c>
      <c r="DM89" s="59"/>
    </row>
    <row r="90" spans="1:117" ht="15">
      <c r="A90" s="67">
        <v>3300</v>
      </c>
      <c r="B90" s="67" t="s">
        <v>131</v>
      </c>
      <c r="C90" s="67">
        <v>31</v>
      </c>
      <c r="D90" s="67" t="s">
        <v>1</v>
      </c>
      <c r="E90" s="67" t="s">
        <v>225</v>
      </c>
      <c r="F90" s="55">
        <v>27</v>
      </c>
      <c r="G90" s="55">
        <f>'Tabulka-přehled'!$I90+'Tabulka-přehled'!$F90</f>
        <v>28</v>
      </c>
      <c r="H90" s="67" t="s">
        <v>126</v>
      </c>
      <c r="I90" s="67">
        <v>1</v>
      </c>
      <c r="N90" s="67">
        <f t="shared" si="3"/>
        <v>0</v>
      </c>
      <c r="O90" s="55">
        <f t="shared" si="4"/>
        <v>28</v>
      </c>
      <c r="P90" s="67" t="s">
        <v>123</v>
      </c>
      <c r="R90" s="67">
        <v>2</v>
      </c>
      <c r="AK90" s="67">
        <v>6</v>
      </c>
      <c r="BH90" s="67">
        <v>1</v>
      </c>
      <c r="BT90" s="67">
        <v>2</v>
      </c>
      <c r="CH90" s="67">
        <v>1</v>
      </c>
      <c r="CK90" s="67"/>
      <c r="CV90" s="67">
        <v>2</v>
      </c>
      <c r="DM90" s="59"/>
    </row>
    <row r="91" spans="1:117" ht="15">
      <c r="A91" s="67">
        <v>3310</v>
      </c>
      <c r="B91" s="67" t="s">
        <v>131</v>
      </c>
      <c r="C91" s="67">
        <v>31</v>
      </c>
      <c r="D91" s="67" t="s">
        <v>1</v>
      </c>
      <c r="E91" s="67" t="s">
        <v>226</v>
      </c>
      <c r="F91" s="55">
        <v>17.1</v>
      </c>
      <c r="G91" s="55">
        <f>'Tabulka-přehled'!$I91+'Tabulka-přehled'!$F91</f>
        <v>18.400000000000002</v>
      </c>
      <c r="H91" s="67" t="s">
        <v>126</v>
      </c>
      <c r="I91" s="67">
        <f>1*1.3</f>
        <v>1.3</v>
      </c>
      <c r="J91" s="67" t="s">
        <v>227</v>
      </c>
      <c r="M91" s="67">
        <v>0.26</v>
      </c>
      <c r="N91" s="67">
        <f t="shared" si="3"/>
        <v>0.26</v>
      </c>
      <c r="O91" s="55">
        <f t="shared" si="4"/>
        <v>18.14</v>
      </c>
      <c r="P91" s="67" t="s">
        <v>123</v>
      </c>
      <c r="R91" s="67">
        <v>1</v>
      </c>
      <c r="AK91" s="67">
        <v>3</v>
      </c>
      <c r="AV91" s="67">
        <v>1</v>
      </c>
      <c r="BH91" s="67">
        <v>1</v>
      </c>
      <c r="BT91" s="67">
        <v>1</v>
      </c>
      <c r="CH91" s="67">
        <v>1</v>
      </c>
      <c r="CK91" s="67"/>
      <c r="CL91" s="67">
        <v>1</v>
      </c>
      <c r="DM91" s="59"/>
    </row>
    <row r="92" spans="1:117" ht="15">
      <c r="A92" s="67">
        <v>3320</v>
      </c>
      <c r="B92" s="67" t="s">
        <v>131</v>
      </c>
      <c r="C92" s="67">
        <v>31</v>
      </c>
      <c r="D92" s="67" t="s">
        <v>1</v>
      </c>
      <c r="E92" s="67" t="s">
        <v>228</v>
      </c>
      <c r="F92" s="55">
        <f>2.25*5.6</f>
        <v>12.6</v>
      </c>
      <c r="G92" s="55">
        <f>'Tabulka-přehled'!$I92+'Tabulka-přehled'!$F92</f>
        <v>13.9</v>
      </c>
      <c r="H92" s="67" t="s">
        <v>126</v>
      </c>
      <c r="I92" s="67">
        <f>1.3*1</f>
        <v>1.3</v>
      </c>
      <c r="N92" s="67">
        <f t="shared" si="3"/>
        <v>0</v>
      </c>
      <c r="O92" s="55">
        <f t="shared" si="4"/>
        <v>13.9</v>
      </c>
      <c r="P92" s="67" t="s">
        <v>123</v>
      </c>
      <c r="R92" s="67">
        <v>1</v>
      </c>
      <c r="AK92" s="67">
        <v>3</v>
      </c>
      <c r="AV92" s="67">
        <v>1</v>
      </c>
      <c r="BH92" s="67">
        <v>1</v>
      </c>
      <c r="BT92" s="67">
        <v>1</v>
      </c>
      <c r="CK92" s="67"/>
      <c r="CX92" s="67">
        <v>1</v>
      </c>
      <c r="DM92" s="59"/>
    </row>
    <row r="93" spans="1:117" ht="15">
      <c r="A93" s="67">
        <v>3330</v>
      </c>
      <c r="B93" s="67" t="s">
        <v>131</v>
      </c>
      <c r="C93" s="67">
        <v>31</v>
      </c>
      <c r="D93" s="67" t="s">
        <v>1</v>
      </c>
      <c r="E93" s="67" t="s">
        <v>229</v>
      </c>
      <c r="F93" s="55">
        <v>15.1</v>
      </c>
      <c r="G93" s="55">
        <f>'Tabulka-přehled'!$I93+'Tabulka-přehled'!$F93</f>
        <v>15.1</v>
      </c>
      <c r="N93" s="67">
        <f t="shared" si="3"/>
        <v>0</v>
      </c>
      <c r="O93" s="55">
        <f t="shared" si="4"/>
        <v>15.1</v>
      </c>
      <c r="P93" s="67" t="s">
        <v>123</v>
      </c>
      <c r="R93" s="67">
        <v>1</v>
      </c>
      <c r="AK93" s="67">
        <v>3</v>
      </c>
      <c r="BS93" s="67">
        <v>1</v>
      </c>
      <c r="CK93" s="67"/>
      <c r="CX93" s="67">
        <v>1</v>
      </c>
      <c r="DM93" s="59"/>
    </row>
    <row r="94" spans="1:117" ht="15">
      <c r="A94" s="67">
        <v>3340</v>
      </c>
      <c r="B94" s="67" t="s">
        <v>152</v>
      </c>
      <c r="C94" s="67">
        <v>31</v>
      </c>
      <c r="D94" s="67" t="s">
        <v>3</v>
      </c>
      <c r="E94" s="67" t="s">
        <v>230</v>
      </c>
      <c r="F94" s="55">
        <v>6.2</v>
      </c>
      <c r="G94" s="55">
        <f>'Tabulka-přehled'!$I94+'Tabulka-přehled'!$F94</f>
        <v>6.6000000000000005</v>
      </c>
      <c r="H94" s="67" t="s">
        <v>126</v>
      </c>
      <c r="I94" s="67">
        <v>0.4</v>
      </c>
      <c r="N94" s="67">
        <f t="shared" si="3"/>
        <v>0</v>
      </c>
      <c r="O94" s="55">
        <f t="shared" si="4"/>
        <v>6.6000000000000005</v>
      </c>
      <c r="P94" s="67" t="s">
        <v>120</v>
      </c>
      <c r="Y94" s="67">
        <v>1</v>
      </c>
      <c r="BH94" s="67">
        <v>1</v>
      </c>
      <c r="BS94" s="67">
        <v>1</v>
      </c>
      <c r="CK94" s="67"/>
      <c r="DE94" s="67">
        <v>1</v>
      </c>
      <c r="DM94" s="59"/>
    </row>
    <row r="95" spans="1:117" ht="15">
      <c r="A95" s="67">
        <v>3350</v>
      </c>
      <c r="B95" s="67" t="s">
        <v>150</v>
      </c>
      <c r="C95" s="67">
        <v>31</v>
      </c>
      <c r="D95" s="67" t="s">
        <v>1</v>
      </c>
      <c r="E95" s="67" t="s">
        <v>231</v>
      </c>
      <c r="F95" s="55">
        <f>2.4*6</f>
        <v>14.399999999999999</v>
      </c>
      <c r="G95" s="55">
        <f>'Tabulka-přehled'!$I95+'Tabulka-přehled'!$F95</f>
        <v>14.399999999999999</v>
      </c>
      <c r="N95" s="67">
        <f t="shared" si="3"/>
        <v>0</v>
      </c>
      <c r="O95" s="55">
        <f t="shared" si="4"/>
        <v>14.399999999999999</v>
      </c>
      <c r="P95" s="67" t="s">
        <v>114</v>
      </c>
      <c r="W95" s="67">
        <v>1</v>
      </c>
      <c r="AM95" s="67">
        <v>2</v>
      </c>
      <c r="AV95" s="67">
        <v>1</v>
      </c>
      <c r="BA95" s="67">
        <v>5</v>
      </c>
      <c r="CA95" s="67">
        <v>5</v>
      </c>
      <c r="CH95" s="67">
        <v>1</v>
      </c>
      <c r="CI95" s="67">
        <v>1</v>
      </c>
      <c r="CK95" s="67"/>
      <c r="CS95" s="67">
        <v>1</v>
      </c>
      <c r="DM95" s="59"/>
    </row>
    <row r="96" spans="1:117" ht="15">
      <c r="A96" s="67">
        <v>3360</v>
      </c>
      <c r="B96" s="67" t="s">
        <v>131</v>
      </c>
      <c r="C96" s="67">
        <v>31</v>
      </c>
      <c r="D96" s="67" t="s">
        <v>1</v>
      </c>
      <c r="E96" s="67" t="s">
        <v>232</v>
      </c>
      <c r="F96" s="55">
        <v>42.9</v>
      </c>
      <c r="G96" s="55">
        <f>'Tabulka-přehled'!$I96+'Tabulka-přehled'!$F96</f>
        <v>42.9</v>
      </c>
      <c r="N96" s="67">
        <f t="shared" si="3"/>
        <v>0</v>
      </c>
      <c r="O96" s="55">
        <f t="shared" si="4"/>
        <v>42.9</v>
      </c>
      <c r="P96" s="67" t="s">
        <v>123</v>
      </c>
      <c r="W96" s="67">
        <v>4</v>
      </c>
      <c r="AM96" s="67">
        <v>8</v>
      </c>
      <c r="BS96" s="67">
        <v>6</v>
      </c>
      <c r="CK96" s="67"/>
      <c r="CL96" s="67">
        <v>1</v>
      </c>
      <c r="CY96" s="67">
        <v>1</v>
      </c>
      <c r="DA96" s="67">
        <v>1</v>
      </c>
      <c r="DM96" s="59"/>
    </row>
    <row r="97" spans="1:117" ht="15">
      <c r="A97" s="67">
        <v>3370</v>
      </c>
      <c r="B97" s="67" t="s">
        <v>131</v>
      </c>
      <c r="C97" s="67">
        <v>31</v>
      </c>
      <c r="D97" s="67" t="s">
        <v>359</v>
      </c>
      <c r="E97" s="67" t="s">
        <v>233</v>
      </c>
      <c r="F97" s="55">
        <v>15.6</v>
      </c>
      <c r="G97" s="55">
        <f>'Tabulka-přehled'!$I97+'Tabulka-přehled'!$F97</f>
        <v>15.6</v>
      </c>
      <c r="J97" s="67" t="s">
        <v>219</v>
      </c>
      <c r="K97" s="67">
        <v>5</v>
      </c>
      <c r="L97" s="67">
        <v>1</v>
      </c>
      <c r="N97" s="67">
        <f t="shared" si="3"/>
        <v>2.36</v>
      </c>
      <c r="O97" s="55">
        <f t="shared" si="4"/>
        <v>13.24</v>
      </c>
      <c r="P97" s="67" t="s">
        <v>123</v>
      </c>
      <c r="U97" s="67">
        <v>2</v>
      </c>
      <c r="AL97" s="67">
        <v>1</v>
      </c>
      <c r="AV97" s="67">
        <v>1</v>
      </c>
      <c r="BS97" s="67">
        <v>2</v>
      </c>
      <c r="CK97" s="67"/>
      <c r="CT97" s="67">
        <v>1</v>
      </c>
      <c r="CZ97" s="67">
        <v>1</v>
      </c>
      <c r="DM97" s="59"/>
    </row>
    <row r="98" spans="1:117" ht="15">
      <c r="A98" s="67">
        <v>3380</v>
      </c>
      <c r="B98" s="67" t="s">
        <v>131</v>
      </c>
      <c r="C98" s="67">
        <v>31</v>
      </c>
      <c r="D98" s="67" t="s">
        <v>359</v>
      </c>
      <c r="E98" s="67" t="s">
        <v>234</v>
      </c>
      <c r="F98" s="55">
        <v>17.8</v>
      </c>
      <c r="G98" s="55">
        <f>'Tabulka-přehled'!$I98+'Tabulka-přehled'!$F98</f>
        <v>17.8</v>
      </c>
      <c r="J98" s="67" t="s">
        <v>182</v>
      </c>
      <c r="M98" s="67">
        <v>0.23</v>
      </c>
      <c r="N98" s="67">
        <f t="shared" si="3"/>
        <v>0.23</v>
      </c>
      <c r="O98" s="55">
        <f t="shared" si="4"/>
        <v>17.57</v>
      </c>
      <c r="P98" s="67" t="s">
        <v>123</v>
      </c>
      <c r="U98" s="67">
        <v>2</v>
      </c>
      <c r="BU98" s="67">
        <v>2</v>
      </c>
      <c r="CH98" s="67">
        <v>1</v>
      </c>
      <c r="CK98" s="67">
        <v>1</v>
      </c>
      <c r="CZ98" s="67">
        <v>1</v>
      </c>
      <c r="DM98" s="59"/>
    </row>
    <row r="99" spans="1:117" ht="15">
      <c r="A99" s="67">
        <v>3390</v>
      </c>
      <c r="B99" s="67" t="s">
        <v>131</v>
      </c>
      <c r="C99" s="67">
        <v>31</v>
      </c>
      <c r="D99" s="67" t="s">
        <v>359</v>
      </c>
      <c r="E99" s="67" t="s">
        <v>235</v>
      </c>
      <c r="F99" s="55">
        <v>25.8</v>
      </c>
      <c r="G99" s="55">
        <f>'Tabulka-přehled'!$I99+'Tabulka-přehled'!$F99</f>
        <v>25.8</v>
      </c>
      <c r="N99" s="67">
        <f t="shared" si="3"/>
        <v>0</v>
      </c>
      <c r="O99" s="55">
        <f aca="true" t="shared" si="5" ref="O99:O117">F99+I99-N99</f>
        <v>25.8</v>
      </c>
      <c r="P99" s="67" t="s">
        <v>123</v>
      </c>
      <c r="R99" s="67">
        <v>1</v>
      </c>
      <c r="AK99" s="67">
        <v>3</v>
      </c>
      <c r="AL99" s="67">
        <v>1</v>
      </c>
      <c r="AV99" s="67">
        <v>1</v>
      </c>
      <c r="BS99" s="67">
        <v>3</v>
      </c>
      <c r="CH99" s="67">
        <v>1</v>
      </c>
      <c r="CK99" s="67"/>
      <c r="DB99" s="67">
        <v>1</v>
      </c>
      <c r="DM99" s="59"/>
    </row>
    <row r="100" spans="1:117" ht="15">
      <c r="A100" s="67">
        <v>3501</v>
      </c>
      <c r="B100" s="67" t="s">
        <v>113</v>
      </c>
      <c r="C100" s="67">
        <v>31</v>
      </c>
      <c r="D100" s="67" t="s">
        <v>1</v>
      </c>
      <c r="E100" s="67" t="s">
        <v>236</v>
      </c>
      <c r="F100" s="55">
        <f>18.9*2.15</f>
        <v>40.635</v>
      </c>
      <c r="G100" s="55">
        <f>'Tabulka-přehled'!$I100+'Tabulka-přehled'!$F100</f>
        <v>40.635</v>
      </c>
      <c r="N100" s="67">
        <f t="shared" si="3"/>
        <v>0</v>
      </c>
      <c r="O100" s="55">
        <f t="shared" si="5"/>
        <v>40.635</v>
      </c>
      <c r="P100" s="67" t="s">
        <v>120</v>
      </c>
      <c r="BA100" s="67">
        <v>1</v>
      </c>
      <c r="BS100" s="67">
        <v>2</v>
      </c>
      <c r="CI100" s="67">
        <v>1</v>
      </c>
      <c r="CK100" s="67"/>
      <c r="DM100" s="59"/>
    </row>
    <row r="101" spans="1:117" ht="15">
      <c r="A101" s="67">
        <v>3502</v>
      </c>
      <c r="B101" s="67" t="s">
        <v>113</v>
      </c>
      <c r="C101" s="67">
        <v>31</v>
      </c>
      <c r="D101" s="67" t="s">
        <v>1</v>
      </c>
      <c r="E101" s="67" t="s">
        <v>237</v>
      </c>
      <c r="F101" s="55">
        <f>3.4*2.15</f>
        <v>7.31</v>
      </c>
      <c r="G101" s="55">
        <f>'Tabulka-přehled'!$I101+'Tabulka-přehled'!$F101</f>
        <v>8.11</v>
      </c>
      <c r="H101" s="67" t="s">
        <v>126</v>
      </c>
      <c r="I101" s="67">
        <f>0.4*2</f>
        <v>0.8</v>
      </c>
      <c r="N101" s="67">
        <f t="shared" si="3"/>
        <v>0</v>
      </c>
      <c r="O101" s="55">
        <f t="shared" si="5"/>
        <v>8.11</v>
      </c>
      <c r="P101" s="67" t="s">
        <v>120</v>
      </c>
      <c r="BS101" s="67">
        <v>1</v>
      </c>
      <c r="CK101" s="67"/>
      <c r="CW101" s="67">
        <v>6</v>
      </c>
      <c r="DM101" s="59"/>
    </row>
    <row r="102" spans="1:117" ht="15">
      <c r="A102" s="67">
        <v>3503</v>
      </c>
      <c r="B102" s="67" t="s">
        <v>113</v>
      </c>
      <c r="C102" s="67">
        <v>31</v>
      </c>
      <c r="D102" s="67" t="s">
        <v>1</v>
      </c>
      <c r="E102" s="67" t="s">
        <v>238</v>
      </c>
      <c r="F102" s="55">
        <f>2.15*13.7</f>
        <v>29.455</v>
      </c>
      <c r="G102" s="55">
        <f>'Tabulka-přehled'!$I102+'Tabulka-přehled'!$F102</f>
        <v>29.455</v>
      </c>
      <c r="N102" s="67">
        <f t="shared" si="3"/>
        <v>0</v>
      </c>
      <c r="O102" s="55">
        <f t="shared" si="5"/>
        <v>29.455</v>
      </c>
      <c r="P102" s="67" t="s">
        <v>114</v>
      </c>
      <c r="AA102" s="67">
        <v>1</v>
      </c>
      <c r="BS102" s="67">
        <v>2</v>
      </c>
      <c r="CK102" s="67"/>
      <c r="CN102" s="67">
        <v>1</v>
      </c>
      <c r="DM102" s="59"/>
    </row>
    <row r="103" spans="1:117" ht="15">
      <c r="A103" s="67">
        <v>3504</v>
      </c>
      <c r="B103" s="67" t="s">
        <v>113</v>
      </c>
      <c r="C103" s="67">
        <v>31</v>
      </c>
      <c r="D103" s="67" t="s">
        <v>1</v>
      </c>
      <c r="E103" s="67" t="s">
        <v>187</v>
      </c>
      <c r="F103" s="55">
        <f>4.85*10.5</f>
        <v>50.925</v>
      </c>
      <c r="G103" s="55">
        <f>'Tabulka-přehled'!$I103+'Tabulka-přehled'!$F103</f>
        <v>50.925</v>
      </c>
      <c r="N103" s="67">
        <f t="shared" si="3"/>
        <v>0</v>
      </c>
      <c r="O103" s="55">
        <f t="shared" si="5"/>
        <v>50.925</v>
      </c>
      <c r="P103" s="67" t="s">
        <v>114</v>
      </c>
      <c r="AA103" s="67">
        <v>2</v>
      </c>
      <c r="BI103" s="67">
        <v>2</v>
      </c>
      <c r="BS103" s="67">
        <v>2</v>
      </c>
      <c r="CK103" s="67"/>
      <c r="CN103" s="67">
        <v>1</v>
      </c>
      <c r="DM103" s="59"/>
    </row>
    <row r="104" spans="1:117" ht="15">
      <c r="A104" s="67">
        <v>3505</v>
      </c>
      <c r="B104" s="67" t="s">
        <v>113</v>
      </c>
      <c r="C104" s="67">
        <v>31</v>
      </c>
      <c r="D104" s="67" t="s">
        <v>1</v>
      </c>
      <c r="E104" s="67" t="s">
        <v>239</v>
      </c>
      <c r="F104" s="55">
        <f>2.4*19.7+1.5*2.3+8.6*2.4</f>
        <v>71.36999999999999</v>
      </c>
      <c r="G104" s="55">
        <f>'Tabulka-přehled'!$I104+'Tabulka-přehled'!$F104</f>
        <v>72.64849999999998</v>
      </c>
      <c r="H104" s="67" t="s">
        <v>189</v>
      </c>
      <c r="I104" s="67">
        <f>(0.4*2)+(0.87*0.55)</f>
        <v>1.2785000000000002</v>
      </c>
      <c r="N104" s="67">
        <f t="shared" si="3"/>
        <v>0</v>
      </c>
      <c r="O104" s="55">
        <f t="shared" si="5"/>
        <v>72.64849999999998</v>
      </c>
      <c r="P104" s="67" t="s">
        <v>114</v>
      </c>
      <c r="S104" s="67">
        <v>6</v>
      </c>
      <c r="Y104" s="67">
        <v>1</v>
      </c>
      <c r="Z104" s="67">
        <v>2</v>
      </c>
      <c r="BG104" s="67">
        <v>1</v>
      </c>
      <c r="BS104" s="67">
        <v>5</v>
      </c>
      <c r="CK104" s="67">
        <v>1</v>
      </c>
      <c r="DM104" s="59"/>
    </row>
    <row r="105" spans="1:117" ht="15">
      <c r="A105" s="67">
        <v>3506</v>
      </c>
      <c r="B105" s="67" t="s">
        <v>113</v>
      </c>
      <c r="C105" s="67">
        <v>31</v>
      </c>
      <c r="D105" s="67" t="s">
        <v>1</v>
      </c>
      <c r="E105" s="67" t="s">
        <v>240</v>
      </c>
      <c r="F105" s="55">
        <v>19.3</v>
      </c>
      <c r="G105" s="55">
        <f>'Tabulka-přehled'!$I105+'Tabulka-přehled'!$F105</f>
        <v>19.3</v>
      </c>
      <c r="N105" s="67">
        <f t="shared" si="3"/>
        <v>0</v>
      </c>
      <c r="O105" s="55">
        <f t="shared" si="5"/>
        <v>19.3</v>
      </c>
      <c r="P105" s="67" t="s">
        <v>114</v>
      </c>
      <c r="R105" s="67">
        <v>3</v>
      </c>
      <c r="AK105" s="67">
        <v>0</v>
      </c>
      <c r="BF105" s="67">
        <v>1</v>
      </c>
      <c r="CK105" s="67"/>
      <c r="DM105" s="59"/>
    </row>
    <row r="106" spans="1:117" ht="15">
      <c r="A106" s="67">
        <v>3507</v>
      </c>
      <c r="B106" s="67" t="s">
        <v>113</v>
      </c>
      <c r="C106" s="67">
        <v>31</v>
      </c>
      <c r="D106" s="67" t="s">
        <v>1</v>
      </c>
      <c r="E106" s="67" t="s">
        <v>241</v>
      </c>
      <c r="F106" s="55">
        <f>2.4*4.85</f>
        <v>11.639999999999999</v>
      </c>
      <c r="G106" s="55">
        <f>'Tabulka-přehled'!$I106+'Tabulka-přehled'!$F106</f>
        <v>11.639999999999999</v>
      </c>
      <c r="N106" s="67">
        <f t="shared" si="3"/>
        <v>0</v>
      </c>
      <c r="O106" s="55">
        <f t="shared" si="5"/>
        <v>11.639999999999999</v>
      </c>
      <c r="P106" s="67" t="s">
        <v>120</v>
      </c>
      <c r="BF106" s="67">
        <v>1</v>
      </c>
      <c r="CK106" s="67"/>
      <c r="DM106" s="59"/>
    </row>
    <row r="107" spans="1:117" ht="15">
      <c r="A107" s="67">
        <v>3508</v>
      </c>
      <c r="B107" s="67" t="s">
        <v>113</v>
      </c>
      <c r="C107" s="67">
        <v>31</v>
      </c>
      <c r="D107" s="67" t="s">
        <v>1</v>
      </c>
      <c r="E107" s="67" t="s">
        <v>242</v>
      </c>
      <c r="F107" s="55">
        <f>2.85*4.65</f>
        <v>13.252500000000001</v>
      </c>
      <c r="G107" s="55">
        <f>'Tabulka-přehled'!$I107+'Tabulka-přehled'!$F107</f>
        <v>14.372500000000002</v>
      </c>
      <c r="H107" s="67" t="s">
        <v>126</v>
      </c>
      <c r="I107" s="67">
        <f>0.2*1.6+1.1*0.4+0.9*0.4</f>
        <v>1.12</v>
      </c>
      <c r="J107" s="67" t="s">
        <v>185</v>
      </c>
      <c r="M107" s="67">
        <v>0.6</v>
      </c>
      <c r="N107" s="67">
        <f t="shared" si="3"/>
        <v>0.6</v>
      </c>
      <c r="O107" s="55">
        <f t="shared" si="5"/>
        <v>13.772500000000003</v>
      </c>
      <c r="P107" s="67" t="s">
        <v>114</v>
      </c>
      <c r="X107" s="67">
        <v>1</v>
      </c>
      <c r="BC107" s="67">
        <v>1</v>
      </c>
      <c r="BH107" s="67">
        <v>2</v>
      </c>
      <c r="BS107" s="67">
        <v>2</v>
      </c>
      <c r="CK107" s="67">
        <v>1</v>
      </c>
      <c r="DM107" s="59"/>
    </row>
    <row r="108" spans="1:117" ht="15">
      <c r="A108" s="67">
        <v>3601</v>
      </c>
      <c r="B108" s="67" t="s">
        <v>116</v>
      </c>
      <c r="C108" s="67">
        <v>31</v>
      </c>
      <c r="D108" s="67" t="s">
        <v>1</v>
      </c>
      <c r="F108" s="55">
        <v>18</v>
      </c>
      <c r="G108" s="55">
        <f>'Tabulka-přehled'!$I108+'Tabulka-přehled'!$F108</f>
        <v>18</v>
      </c>
      <c r="O108" s="56">
        <f t="shared" si="5"/>
        <v>18</v>
      </c>
      <c r="P108" s="67" t="s">
        <v>114</v>
      </c>
      <c r="CB108" s="67">
        <v>2</v>
      </c>
      <c r="CK108" s="67"/>
      <c r="DG108" s="67">
        <v>1</v>
      </c>
      <c r="DH108" s="67">
        <v>1</v>
      </c>
      <c r="DM108" s="57"/>
    </row>
    <row r="109" spans="1:117" ht="15">
      <c r="A109" s="67">
        <v>3602</v>
      </c>
      <c r="B109" s="67" t="s">
        <v>116</v>
      </c>
      <c r="C109" s="67">
        <v>31</v>
      </c>
      <c r="D109" s="67" t="s">
        <v>1</v>
      </c>
      <c r="E109" s="67" t="s">
        <v>193</v>
      </c>
      <c r="F109" s="55">
        <f>2*1.75+2*2+2*3.87+2*2+2*1.75</f>
        <v>22.740000000000002</v>
      </c>
      <c r="G109" s="55">
        <f>'Tabulka-přehled'!$I109+'Tabulka-přehled'!$F109</f>
        <v>22.740000000000002</v>
      </c>
      <c r="N109" s="67">
        <v>0</v>
      </c>
      <c r="O109" s="56">
        <f t="shared" si="5"/>
        <v>22.740000000000002</v>
      </c>
      <c r="P109" s="67" t="s">
        <v>114</v>
      </c>
      <c r="CK109" s="67"/>
      <c r="DM109" s="57"/>
    </row>
    <row r="110" spans="1:117" ht="15">
      <c r="A110" s="67">
        <v>3603</v>
      </c>
      <c r="B110" s="67" t="s">
        <v>116</v>
      </c>
      <c r="C110" s="67">
        <v>31</v>
      </c>
      <c r="D110" s="67" t="s">
        <v>1</v>
      </c>
      <c r="F110" s="55">
        <v>14.2</v>
      </c>
      <c r="G110" s="55">
        <f>'Tabulka-přehled'!$I110+'Tabulka-přehled'!$F110</f>
        <v>14.2</v>
      </c>
      <c r="O110" s="56">
        <f t="shared" si="5"/>
        <v>14.2</v>
      </c>
      <c r="P110" s="67" t="s">
        <v>114</v>
      </c>
      <c r="BR110" s="67">
        <v>2</v>
      </c>
      <c r="CK110" s="67"/>
      <c r="DM110" s="57"/>
    </row>
    <row r="111" spans="1:117" ht="15">
      <c r="A111" s="67">
        <v>4280</v>
      </c>
      <c r="B111" s="67" t="s">
        <v>131</v>
      </c>
      <c r="C111" s="67">
        <v>41</v>
      </c>
      <c r="D111" s="67" t="s">
        <v>359</v>
      </c>
      <c r="F111" s="55">
        <v>19.1</v>
      </c>
      <c r="G111" s="55">
        <f>'Tabulka-přehled'!$I111+'Tabulka-přehled'!$F111</f>
        <v>19.1</v>
      </c>
      <c r="O111" s="56">
        <f t="shared" si="5"/>
        <v>19.1</v>
      </c>
      <c r="P111" s="67" t="s">
        <v>123</v>
      </c>
      <c r="R111" s="67">
        <v>2</v>
      </c>
      <c r="AM111" s="67">
        <v>6</v>
      </c>
      <c r="AQ111" s="67">
        <v>1</v>
      </c>
      <c r="BT111" s="67">
        <v>1</v>
      </c>
      <c r="CK111" s="67"/>
      <c r="CV111" s="67">
        <v>2</v>
      </c>
      <c r="DM111" s="59"/>
    </row>
    <row r="112" spans="1:117" ht="15">
      <c r="A112" s="67">
        <v>4290</v>
      </c>
      <c r="B112" s="67" t="s">
        <v>131</v>
      </c>
      <c r="C112" s="67">
        <v>41</v>
      </c>
      <c r="D112" s="67" t="s">
        <v>359</v>
      </c>
      <c r="F112" s="55">
        <v>10.9</v>
      </c>
      <c r="G112" s="55">
        <f>'Tabulka-přehled'!$I112+'Tabulka-přehled'!$F112</f>
        <v>10.9</v>
      </c>
      <c r="O112" s="56">
        <f t="shared" si="5"/>
        <v>10.9</v>
      </c>
      <c r="P112" s="67" t="s">
        <v>123</v>
      </c>
      <c r="R112" s="67">
        <v>1</v>
      </c>
      <c r="AM112" s="67">
        <v>3</v>
      </c>
      <c r="AQ112" s="67">
        <v>1</v>
      </c>
      <c r="BT112" s="67">
        <v>1</v>
      </c>
      <c r="CK112" s="67"/>
      <c r="CX112" s="67">
        <v>1</v>
      </c>
      <c r="DM112" s="59"/>
    </row>
    <row r="113" spans="1:117" ht="15">
      <c r="A113" s="67">
        <v>4503</v>
      </c>
      <c r="B113" s="67" t="s">
        <v>113</v>
      </c>
      <c r="C113" s="67">
        <v>41</v>
      </c>
      <c r="D113" s="67" t="s">
        <v>1</v>
      </c>
      <c r="F113" s="55">
        <v>29.7</v>
      </c>
      <c r="G113" s="55">
        <f>'Tabulka-přehled'!$I113+'Tabulka-přehled'!$F113</f>
        <v>29.7</v>
      </c>
      <c r="O113" s="56">
        <f t="shared" si="5"/>
        <v>29.7</v>
      </c>
      <c r="P113" s="67" t="s">
        <v>114</v>
      </c>
      <c r="S113" s="67">
        <v>3</v>
      </c>
      <c r="BS113" s="67">
        <v>2</v>
      </c>
      <c r="CB113" s="67">
        <v>1</v>
      </c>
      <c r="CK113" s="67"/>
      <c r="CQ113" s="67">
        <v>2</v>
      </c>
      <c r="DM113" s="57"/>
    </row>
    <row r="114" spans="1:117" ht="15">
      <c r="A114" s="67">
        <v>4505</v>
      </c>
      <c r="B114" s="67" t="s">
        <v>113</v>
      </c>
      <c r="C114" s="67">
        <v>41</v>
      </c>
      <c r="D114" s="67" t="s">
        <v>1</v>
      </c>
      <c r="F114" s="55">
        <v>6.3</v>
      </c>
      <c r="G114" s="55">
        <f>'Tabulka-přehled'!$I114+'Tabulka-přehled'!$F114</f>
        <v>6.3</v>
      </c>
      <c r="O114" s="56">
        <f t="shared" si="5"/>
        <v>6.3</v>
      </c>
      <c r="P114" s="67" t="s">
        <v>114</v>
      </c>
      <c r="BS114" s="67">
        <v>2</v>
      </c>
      <c r="CK114" s="67"/>
      <c r="DM114" s="57"/>
    </row>
    <row r="115" spans="1:117" ht="15">
      <c r="A115" s="67">
        <v>5160</v>
      </c>
      <c r="B115" s="67" t="s">
        <v>243</v>
      </c>
      <c r="C115" s="67">
        <v>51</v>
      </c>
      <c r="D115" s="67" t="s">
        <v>3</v>
      </c>
      <c r="E115" s="67" t="s">
        <v>244</v>
      </c>
      <c r="F115" s="55">
        <f>4.9*8.05+2*0.6</f>
        <v>40.64500000000001</v>
      </c>
      <c r="G115" s="55">
        <f>'Tabulka-přehled'!$I115+'Tabulka-přehled'!$F115</f>
        <v>40.64500000000001</v>
      </c>
      <c r="N115" s="67">
        <f>(K115*0.376)+(L115*0.48)+M115</f>
        <v>0</v>
      </c>
      <c r="O115" s="56">
        <f t="shared" si="5"/>
        <v>40.64500000000001</v>
      </c>
      <c r="P115" s="67" t="s">
        <v>120</v>
      </c>
      <c r="AD115" s="67">
        <v>3</v>
      </c>
      <c r="BH115" s="67">
        <v>1</v>
      </c>
      <c r="BU115" s="67">
        <v>3</v>
      </c>
      <c r="CK115" s="67"/>
      <c r="CQ115" s="67">
        <v>2</v>
      </c>
      <c r="DM115" s="59"/>
    </row>
    <row r="116" spans="1:117" ht="15">
      <c r="A116" s="67">
        <v>5502</v>
      </c>
      <c r="B116" s="67" t="s">
        <v>113</v>
      </c>
      <c r="C116" s="67">
        <v>51</v>
      </c>
      <c r="D116" s="67" t="s">
        <v>3</v>
      </c>
      <c r="F116" s="55">
        <v>50.4</v>
      </c>
      <c r="G116" s="55">
        <f>'Tabulka-přehled'!$I116+'Tabulka-přehled'!$F116</f>
        <v>50.4</v>
      </c>
      <c r="O116" s="56">
        <f t="shared" si="5"/>
        <v>50.4</v>
      </c>
      <c r="P116" s="67" t="s">
        <v>256</v>
      </c>
      <c r="BR116" s="67">
        <v>1</v>
      </c>
      <c r="BS116" s="67">
        <v>6</v>
      </c>
      <c r="CG116" s="67">
        <v>1</v>
      </c>
      <c r="CK116" s="67"/>
      <c r="DJ116" s="67">
        <v>4</v>
      </c>
      <c r="DM116" s="59"/>
    </row>
    <row r="117" spans="1:117" ht="15">
      <c r="A117" s="67">
        <v>5503</v>
      </c>
      <c r="B117" s="67" t="s">
        <v>113</v>
      </c>
      <c r="C117" s="67">
        <v>51</v>
      </c>
      <c r="D117" s="67" t="s">
        <v>3</v>
      </c>
      <c r="F117" s="55">
        <v>16.4</v>
      </c>
      <c r="G117" s="55">
        <f>'Tabulka-přehled'!$I117+'Tabulka-přehled'!$F117</f>
        <v>16.4</v>
      </c>
      <c r="O117" s="56">
        <f t="shared" si="5"/>
        <v>16.4</v>
      </c>
      <c r="P117" s="67" t="s">
        <v>256</v>
      </c>
      <c r="BS117" s="67">
        <v>2</v>
      </c>
      <c r="CK117" s="67"/>
      <c r="DM117" s="59"/>
    </row>
    <row r="118" spans="1:117" ht="15">
      <c r="A118" s="76">
        <f>SUBTOTAL(103,A3:A117)</f>
        <v>115</v>
      </c>
      <c r="B118" s="76"/>
      <c r="C118" s="76"/>
      <c r="D118" s="76"/>
      <c r="E118" s="76"/>
      <c r="F118" s="77">
        <f>SUBTOTAL(109,F3:F117)</f>
        <v>2335.425299999999</v>
      </c>
      <c r="G118" s="77"/>
      <c r="H118" s="76"/>
      <c r="I118" s="76">
        <f>SUBTOTAL(109,I3:I117)</f>
        <v>48.20499999999997</v>
      </c>
      <c r="J118" s="76"/>
      <c r="K118" s="76"/>
      <c r="L118" s="76"/>
      <c r="M118" s="76"/>
      <c r="N118" s="76">
        <f>SUBTOTAL(109,N3:N117)</f>
        <v>40.24199999999999</v>
      </c>
      <c r="O118" s="78">
        <f>SUBTOTAL(109,O3:O117)</f>
        <v>2343.3883</v>
      </c>
      <c r="P118" s="76"/>
      <c r="Q118" s="76">
        <f aca="true" t="shared" si="6" ref="Q118:AB118">SUBTOTAL(109,Q3:Q117)</f>
        <v>9</v>
      </c>
      <c r="R118" s="76">
        <f t="shared" si="6"/>
        <v>90</v>
      </c>
      <c r="S118" s="76">
        <f t="shared" si="6"/>
        <v>21</v>
      </c>
      <c r="T118" s="76">
        <f t="shared" si="6"/>
        <v>6</v>
      </c>
      <c r="U118" s="76">
        <f t="shared" si="6"/>
        <v>8</v>
      </c>
      <c r="V118" s="76">
        <f t="shared" si="6"/>
        <v>94.3</v>
      </c>
      <c r="W118" s="76">
        <f t="shared" si="6"/>
        <v>10</v>
      </c>
      <c r="X118" s="76">
        <f t="shared" si="6"/>
        <v>2</v>
      </c>
      <c r="Y118" s="76">
        <f t="shared" si="6"/>
        <v>2</v>
      </c>
      <c r="Z118" s="76">
        <f t="shared" si="6"/>
        <v>4</v>
      </c>
      <c r="AA118" s="76">
        <f t="shared" si="6"/>
        <v>3</v>
      </c>
      <c r="AB118" s="76">
        <f t="shared" si="6"/>
        <v>6</v>
      </c>
      <c r="AC118" s="76">
        <f>SUBTOTAL(109,U3:U117)</f>
        <v>8</v>
      </c>
      <c r="AD118" s="76">
        <f>SUBTOTAL(109,AD3:AD117)</f>
        <v>3</v>
      </c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9"/>
    </row>
  </sheetData>
  <sheetProtection/>
  <mergeCells count="6">
    <mergeCell ref="CI1:DL1"/>
    <mergeCell ref="H1:I1"/>
    <mergeCell ref="J1:N1"/>
    <mergeCell ref="Q1:AD1"/>
    <mergeCell ref="AE1:AN1"/>
    <mergeCell ref="AO1:BP1"/>
  </mergeCells>
  <conditionalFormatting sqref="A6:A117 A119:A65536 A1:A4">
    <cfRule type="duplicateValues" priority="2" dxfId="13">
      <formula>AND(COUNTIF($A$6:$A$117,A1)+COUNTIF($A$119:$A$65536,A1)+COUNTIF($A$1:$A$4,A1)&gt;1,NOT(ISBLANK(A1)))</formula>
    </cfRule>
  </conditionalFormatting>
  <conditionalFormatting sqref="A5">
    <cfRule type="duplicateValues" priority="1" dxfId="13">
      <formula>AND(COUNTIF($A$5:$A$5,A5)&gt;1,NOT(ISBLANK(A5)))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view="pageLayout" workbookViewId="0" topLeftCell="A1">
      <selection activeCell="F9" sqref="F9"/>
    </sheetView>
  </sheetViews>
  <sheetFormatPr defaultColWidth="9.140625" defaultRowHeight="15"/>
  <cols>
    <col min="1" max="1" width="3.421875" style="0" customWidth="1"/>
    <col min="2" max="2" width="40.421875" style="0" customWidth="1"/>
    <col min="3" max="6" width="8.140625" style="0" customWidth="1"/>
    <col min="7" max="7" width="14.8515625" style="0" customWidth="1"/>
    <col min="8" max="8" width="4.28125" style="0" customWidth="1"/>
    <col min="9" max="11" width="40.7109375" style="0" customWidth="1"/>
    <col min="12" max="12" width="40.7109375" style="0" bestFit="1" customWidth="1"/>
    <col min="13" max="15" width="40.7109375" style="0" customWidth="1"/>
    <col min="16" max="16" width="40.7109375" style="0" bestFit="1" customWidth="1"/>
    <col min="17" max="21" width="40.7109375" style="0" customWidth="1"/>
    <col min="22" max="22" width="46.7109375" style="0" customWidth="1"/>
    <col min="23" max="23" width="47.28125" style="0" bestFit="1" customWidth="1"/>
    <col min="24" max="24" width="39.8515625" style="0" bestFit="1" customWidth="1"/>
    <col min="25" max="25" width="47.00390625" style="0" bestFit="1" customWidth="1"/>
    <col min="26" max="26" width="48.140625" style="0" bestFit="1" customWidth="1"/>
  </cols>
  <sheetData>
    <row r="1" spans="2:3" ht="15">
      <c r="B1" s="54" t="s">
        <v>30</v>
      </c>
      <c r="C1" s="53" t="s">
        <v>34</v>
      </c>
    </row>
    <row r="3" spans="2:6" ht="15">
      <c r="B3" s="54" t="s">
        <v>245</v>
      </c>
      <c r="C3" s="54" t="s">
        <v>0</v>
      </c>
      <c r="D3" s="53"/>
      <c r="E3" s="53"/>
      <c r="F3" s="53"/>
    </row>
    <row r="4" spans="2:6" ht="15">
      <c r="B4" s="54" t="s">
        <v>246</v>
      </c>
      <c r="C4" s="53" t="s">
        <v>1</v>
      </c>
      <c r="D4" s="53" t="s">
        <v>2</v>
      </c>
      <c r="E4" s="53" t="s">
        <v>3</v>
      </c>
      <c r="F4" s="53" t="s">
        <v>4</v>
      </c>
    </row>
    <row r="5" spans="2:6" ht="15">
      <c r="B5" s="1" t="s">
        <v>114</v>
      </c>
      <c r="C5" s="9">
        <v>783.1152999999999</v>
      </c>
      <c r="D5" s="9"/>
      <c r="E5" s="9">
        <v>6.6</v>
      </c>
      <c r="F5" s="9">
        <v>789.7153</v>
      </c>
    </row>
    <row r="6" spans="2:6" ht="15">
      <c r="B6" s="1" t="s">
        <v>123</v>
      </c>
      <c r="C6" s="9">
        <v>1266.1109999999999</v>
      </c>
      <c r="D6" s="9">
        <v>58.959999999999994</v>
      </c>
      <c r="E6" s="9"/>
      <c r="F6" s="9">
        <v>1325.071</v>
      </c>
    </row>
    <row r="7" spans="2:6" ht="15">
      <c r="B7" s="1" t="s">
        <v>120</v>
      </c>
      <c r="C7" s="9">
        <v>102.285</v>
      </c>
      <c r="D7" s="9">
        <v>12.272</v>
      </c>
      <c r="E7" s="9">
        <v>47.24500000000001</v>
      </c>
      <c r="F7" s="9">
        <v>161.80200000000002</v>
      </c>
    </row>
    <row r="8" spans="2:6" ht="15">
      <c r="B8" s="1" t="s">
        <v>256</v>
      </c>
      <c r="C8" s="9"/>
      <c r="D8" s="9"/>
      <c r="E8" s="9">
        <v>66.8</v>
      </c>
      <c r="F8" s="9">
        <v>66.8</v>
      </c>
    </row>
    <row r="9" spans="2:6" ht="15">
      <c r="B9" s="1" t="s">
        <v>4</v>
      </c>
      <c r="C9" s="9">
        <v>2151.5112999999997</v>
      </c>
      <c r="D9" s="9">
        <v>71.232</v>
      </c>
      <c r="E9" s="9">
        <v>120.64500000000001</v>
      </c>
      <c r="F9" s="9">
        <v>2343.3883</v>
      </c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Footer>&amp;C„Zajištění komplexních úklidových služeb v objektu Finančního úřadu pro Královéhradecký kraj – Územní pracoviště v Jičíně“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zoomScale="110" zoomScaleNormal="110" zoomScalePageLayoutView="0" workbookViewId="0" topLeftCell="A1">
      <selection activeCell="L29" sqref="L29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1.8515625" style="0" customWidth="1"/>
    <col min="4" max="4" width="9.57421875" style="14" customWidth="1"/>
    <col min="5" max="6" width="9.57421875" style="0" customWidth="1"/>
    <col min="7" max="7" width="9.8515625" style="0" customWidth="1"/>
    <col min="8" max="8" width="11.8515625" style="0" customWidth="1"/>
    <col min="9" max="9" width="12.8515625" style="0" customWidth="1"/>
    <col min="10" max="10" width="9.57421875" style="0" customWidth="1"/>
  </cols>
  <sheetData>
    <row r="1" spans="1:9" s="7" customFormat="1" ht="91.5" customHeight="1">
      <c r="A1" s="97" t="s">
        <v>361</v>
      </c>
      <c r="B1" s="5" t="s">
        <v>362</v>
      </c>
      <c r="C1" s="5" t="s">
        <v>364</v>
      </c>
      <c r="D1" s="6" t="s">
        <v>363</v>
      </c>
      <c r="E1" s="98" t="s">
        <v>0</v>
      </c>
      <c r="F1" s="98" t="s">
        <v>358</v>
      </c>
      <c r="G1" s="98" t="s">
        <v>357</v>
      </c>
      <c r="H1" s="98" t="s">
        <v>252</v>
      </c>
      <c r="I1" s="98" t="s">
        <v>253</v>
      </c>
    </row>
    <row r="2" spans="1:9" s="11" customFormat="1" ht="15">
      <c r="A2" s="8">
        <f>'Tabulka-přehled'!$A3</f>
        <v>1503</v>
      </c>
      <c r="B2" s="15" t="str">
        <f>'Tabulka-přehled'!$B3</f>
        <v>chodba</v>
      </c>
      <c r="C2" s="53" t="str">
        <f>'Tabulka-přehled'!$P3</f>
        <v>dlažba</v>
      </c>
      <c r="D2" s="10">
        <f>'Tabulka-přehled'!$O3</f>
        <v>90</v>
      </c>
      <c r="E2" s="94" t="str">
        <f>'Tabulka-přehled'!$D3</f>
        <v>A</v>
      </c>
      <c r="F2" s="51"/>
      <c r="G2" s="51"/>
      <c r="H2" s="51"/>
      <c r="I2" s="51"/>
    </row>
    <row r="3" spans="1:9" s="11" customFormat="1" ht="15">
      <c r="A3" s="8">
        <f>'Tabulka-přehled'!$A4</f>
        <v>1507</v>
      </c>
      <c r="B3" s="53" t="str">
        <f>'Tabulka-přehled'!$B4</f>
        <v>výtah</v>
      </c>
      <c r="C3" s="53" t="str">
        <f>'Tabulka-přehled'!$P4</f>
        <v>linoleum</v>
      </c>
      <c r="D3" s="10">
        <f>'Tabulka-přehled'!$O4</f>
        <v>1.4</v>
      </c>
      <c r="E3" s="94" t="str">
        <f>'Tabulka-přehled'!$D4</f>
        <v>A</v>
      </c>
      <c r="F3" s="51"/>
      <c r="G3" s="52"/>
      <c r="H3" s="52"/>
      <c r="I3" s="52"/>
    </row>
    <row r="4" spans="1:9" s="11" customFormat="1" ht="15">
      <c r="A4" s="8">
        <f>'Tabulka-přehled'!$A5</f>
        <v>1508</v>
      </c>
      <c r="B4" s="53" t="str">
        <f>'Tabulka-přehled'!$B5</f>
        <v>výtah</v>
      </c>
      <c r="C4" s="53" t="str">
        <f>'Tabulka-přehled'!$P5</f>
        <v>linoleum</v>
      </c>
      <c r="D4" s="10">
        <f>'Tabulka-přehled'!$O5</f>
        <v>1.4</v>
      </c>
      <c r="E4" s="94" t="str">
        <f>'Tabulka-přehled'!$D5</f>
        <v>A</v>
      </c>
      <c r="F4" s="51"/>
      <c r="G4" s="52"/>
      <c r="H4" s="52"/>
      <c r="I4" s="52"/>
    </row>
    <row r="5" spans="1:9" s="11" customFormat="1" ht="15">
      <c r="A5" s="8">
        <f>'Tabulka-přehled'!$A6</f>
        <v>1601</v>
      </c>
      <c r="B5" s="53" t="str">
        <f>'Tabulka-přehled'!$B6</f>
        <v>schodiště </v>
      </c>
      <c r="C5" s="53" t="str">
        <f>'Tabulka-přehled'!$P6</f>
        <v>dlažba</v>
      </c>
      <c r="D5" s="10">
        <f>'Tabulka-přehled'!$O6</f>
        <v>18</v>
      </c>
      <c r="E5" s="94" t="str">
        <f>'Tabulka-přehled'!$D6</f>
        <v>A</v>
      </c>
      <c r="F5" s="51"/>
      <c r="G5" s="52"/>
      <c r="H5" s="52"/>
      <c r="I5" s="52"/>
    </row>
    <row r="6" spans="1:9" s="11" customFormat="1" ht="15">
      <c r="A6" s="8">
        <f>'Tabulka-přehled'!$A7</f>
        <v>1602</v>
      </c>
      <c r="B6" s="53" t="str">
        <f>'Tabulka-přehled'!$B7</f>
        <v>schodiště </v>
      </c>
      <c r="C6" s="53" t="str">
        <f>'Tabulka-přehled'!$P7</f>
        <v>dlažba</v>
      </c>
      <c r="D6" s="10">
        <f>'Tabulka-přehled'!$O7</f>
        <v>22.740000000000002</v>
      </c>
      <c r="E6" s="94" t="str">
        <f>'Tabulka-přehled'!$D7</f>
        <v>A</v>
      </c>
      <c r="F6" s="51"/>
      <c r="G6" s="52"/>
      <c r="H6" s="52"/>
      <c r="I6" s="52"/>
    </row>
    <row r="7" spans="1:9" s="11" customFormat="1" ht="15.75" thickBot="1">
      <c r="A7" s="85">
        <f>'Tabulka-přehled'!$A8</f>
        <v>1603</v>
      </c>
      <c r="B7" s="86" t="str">
        <f>'Tabulka-přehled'!$B8</f>
        <v>schodiště </v>
      </c>
      <c r="C7" s="86" t="str">
        <f>'Tabulka-přehled'!$P8</f>
        <v>dlažba</v>
      </c>
      <c r="D7" s="87">
        <f>'Tabulka-přehled'!$O8</f>
        <v>14.2</v>
      </c>
      <c r="E7" s="95" t="str">
        <f>'Tabulka-přehled'!$D8</f>
        <v>A</v>
      </c>
      <c r="F7" s="88"/>
      <c r="G7" s="88"/>
      <c r="H7" s="88"/>
      <c r="I7" s="88"/>
    </row>
    <row r="8" spans="1:9" s="11" customFormat="1" ht="15.75" thickTop="1">
      <c r="A8" s="82">
        <f>'Tabulka-přehled'!$A9</f>
        <v>2010</v>
      </c>
      <c r="B8" s="83" t="str">
        <f>'Tabulka-přehled'!$B9</f>
        <v>kuchyňka</v>
      </c>
      <c r="C8" s="83" t="str">
        <f>'Tabulka-přehled'!$P9</f>
        <v>linoleum</v>
      </c>
      <c r="D8" s="84">
        <f>'Tabulka-přehled'!$O9</f>
        <v>11.200000000000001</v>
      </c>
      <c r="E8" s="96" t="str">
        <f>'Tabulka-přehled'!$D9</f>
        <v>A</v>
      </c>
      <c r="F8" s="51"/>
      <c r="G8" s="51"/>
      <c r="H8" s="51"/>
      <c r="I8" s="51"/>
    </row>
    <row r="9" spans="1:9" s="11" customFormat="1" ht="15">
      <c r="A9" s="8">
        <f>'Tabulka-přehled'!$A10</f>
        <v>2020</v>
      </c>
      <c r="B9" s="53" t="str">
        <f>'Tabulka-přehled'!$B10</f>
        <v>ředitel</v>
      </c>
      <c r="C9" s="53" t="str">
        <f>'Tabulka-přehled'!$P10</f>
        <v>koberec</v>
      </c>
      <c r="D9" s="10">
        <f>'Tabulka-přehled'!$O10</f>
        <v>28.7</v>
      </c>
      <c r="E9" s="94" t="str">
        <f>'Tabulka-přehled'!$D10</f>
        <v>A</v>
      </c>
      <c r="F9" s="51"/>
      <c r="G9" s="52"/>
      <c r="H9" s="52"/>
      <c r="I9" s="52"/>
    </row>
    <row r="10" spans="1:9" s="11" customFormat="1" ht="15">
      <c r="A10" s="8">
        <f>'Tabulka-přehled'!$A11</f>
        <v>2030</v>
      </c>
      <c r="B10" s="53" t="str">
        <f>'Tabulka-přehled'!$B11</f>
        <v>sekretariát</v>
      </c>
      <c r="C10" s="53" t="str">
        <f>'Tabulka-přehled'!$P11</f>
        <v>koberec</v>
      </c>
      <c r="D10" s="10">
        <f>'Tabulka-přehled'!$O11</f>
        <v>22.644</v>
      </c>
      <c r="E10" s="94" t="str">
        <f>'Tabulka-přehled'!$D11</f>
        <v>A</v>
      </c>
      <c r="F10" s="51"/>
      <c r="G10" s="52"/>
      <c r="H10" s="52"/>
      <c r="I10" s="52"/>
    </row>
    <row r="11" spans="1:9" s="11" customFormat="1" ht="15">
      <c r="A11" s="8">
        <f>'Tabulka-přehled'!$A12</f>
        <v>2040</v>
      </c>
      <c r="B11" s="53" t="str">
        <f>'Tabulka-přehled'!$B12</f>
        <v>vedoucí odboru</v>
      </c>
      <c r="C11" s="53" t="str">
        <f>'Tabulka-přehled'!$P12</f>
        <v>koberec</v>
      </c>
      <c r="D11" s="10">
        <f>'Tabulka-přehled'!$O12</f>
        <v>25.671999999999997</v>
      </c>
      <c r="E11" s="94" t="str">
        <f>'Tabulka-přehled'!$D12</f>
        <v>A</v>
      </c>
      <c r="F11" s="51"/>
      <c r="G11" s="52"/>
      <c r="H11" s="52"/>
      <c r="I11" s="52"/>
    </row>
    <row r="12" spans="1:9" s="11" customFormat="1" ht="15">
      <c r="A12" s="8">
        <f>'Tabulka-přehled'!$A13</f>
        <v>2050</v>
      </c>
      <c r="B12" s="53" t="str">
        <f>'Tabulka-přehled'!$B13</f>
        <v>kancelář</v>
      </c>
      <c r="C12" s="53" t="str">
        <f>'Tabulka-přehled'!$P13</f>
        <v>koberec</v>
      </c>
      <c r="D12" s="10">
        <f>'Tabulka-přehled'!$O13</f>
        <v>13.192</v>
      </c>
      <c r="E12" s="94" t="str">
        <f>'Tabulka-přehled'!$D13</f>
        <v>A</v>
      </c>
      <c r="F12" s="51"/>
      <c r="G12" s="52"/>
      <c r="H12" s="52"/>
      <c r="I12" s="52"/>
    </row>
    <row r="13" spans="1:9" s="11" customFormat="1" ht="15">
      <c r="A13" s="8">
        <f>'Tabulka-přehled'!$A14</f>
        <v>2060</v>
      </c>
      <c r="B13" s="53" t="str">
        <f>'Tabulka-přehled'!$B14</f>
        <v>kancelář</v>
      </c>
      <c r="C13" s="53" t="str">
        <f>'Tabulka-přehled'!$P14</f>
        <v>koberec</v>
      </c>
      <c r="D13" s="10">
        <f>'Tabulka-přehled'!$O14</f>
        <v>11.344</v>
      </c>
      <c r="E13" s="94" t="str">
        <f>'Tabulka-přehled'!$D14</f>
        <v>A</v>
      </c>
      <c r="F13" s="51"/>
      <c r="G13" s="52"/>
      <c r="H13" s="52"/>
      <c r="I13" s="52"/>
    </row>
    <row r="14" spans="1:9" s="11" customFormat="1" ht="15">
      <c r="A14" s="8">
        <f>'Tabulka-přehled'!$A15</f>
        <v>2070</v>
      </c>
      <c r="B14" s="53" t="str">
        <f>'Tabulka-přehled'!$B15</f>
        <v>kancelář</v>
      </c>
      <c r="C14" s="53" t="str">
        <f>'Tabulka-přehled'!$P15</f>
        <v>koberec</v>
      </c>
      <c r="D14" s="10">
        <f>'Tabulka-přehled'!$O15</f>
        <v>11.719999999999999</v>
      </c>
      <c r="E14" s="94" t="str">
        <f>'Tabulka-přehled'!$D15</f>
        <v>A</v>
      </c>
      <c r="F14" s="51"/>
      <c r="G14" s="52"/>
      <c r="H14" s="52"/>
      <c r="I14" s="52"/>
    </row>
    <row r="15" spans="1:9" ht="15">
      <c r="A15" s="8">
        <f>'Tabulka-přehled'!$A16</f>
        <v>2080</v>
      </c>
      <c r="B15" s="53" t="str">
        <f>'Tabulka-přehled'!$B16</f>
        <v>kancelář</v>
      </c>
      <c r="C15" s="53" t="str">
        <f>'Tabulka-přehled'!$P16</f>
        <v>koberec</v>
      </c>
      <c r="D15" s="10">
        <f>'Tabulka-přehled'!$O16</f>
        <v>12.02</v>
      </c>
      <c r="E15" s="94" t="str">
        <f>'Tabulka-přehled'!$D16</f>
        <v>A</v>
      </c>
      <c r="F15" s="51"/>
      <c r="G15" s="27"/>
      <c r="H15" s="27"/>
      <c r="I15" s="27"/>
    </row>
    <row r="16" spans="1:9" ht="15">
      <c r="A16" s="8">
        <f>'Tabulka-přehled'!$A17</f>
        <v>2090</v>
      </c>
      <c r="B16" s="53" t="str">
        <f>'Tabulka-přehled'!$B17</f>
        <v>kancelář</v>
      </c>
      <c r="C16" s="53" t="str">
        <f>'Tabulka-přehled'!$P17</f>
        <v>koberec</v>
      </c>
      <c r="D16" s="10">
        <f>'Tabulka-přehled'!$O17</f>
        <v>15.1</v>
      </c>
      <c r="E16" s="94" t="str">
        <f>'Tabulka-přehled'!$D17</f>
        <v>A</v>
      </c>
      <c r="F16" s="51"/>
      <c r="G16" s="27"/>
      <c r="H16" s="27"/>
      <c r="I16" s="27"/>
    </row>
    <row r="17" spans="1:9" ht="15">
      <c r="A17" s="8">
        <f>'Tabulka-přehled'!$A18</f>
        <v>2100</v>
      </c>
      <c r="B17" s="53" t="str">
        <f>'Tabulka-přehled'!$B18</f>
        <v>kancelář</v>
      </c>
      <c r="C17" s="53" t="str">
        <f>'Tabulka-přehled'!$P18</f>
        <v>koberec</v>
      </c>
      <c r="D17" s="10">
        <f>'Tabulka-přehled'!$O18</f>
        <v>16.15</v>
      </c>
      <c r="E17" s="94" t="str">
        <f>'Tabulka-přehled'!$D18</f>
        <v>A</v>
      </c>
      <c r="F17" s="51"/>
      <c r="G17" s="27"/>
      <c r="H17" s="27"/>
      <c r="I17" s="27"/>
    </row>
    <row r="18" spans="1:9" ht="15">
      <c r="A18" s="8">
        <f>'Tabulka-přehled'!$A19</f>
        <v>2110</v>
      </c>
      <c r="B18" s="53" t="str">
        <f>'Tabulka-přehled'!$B19</f>
        <v>serverovna</v>
      </c>
      <c r="C18" s="53" t="str">
        <f>'Tabulka-přehled'!$P19</f>
        <v>linoleum</v>
      </c>
      <c r="D18" s="10">
        <f>'Tabulka-přehled'!$O19</f>
        <v>10.5</v>
      </c>
      <c r="E18" s="94" t="str">
        <f>'Tabulka-přehled'!$D19</f>
        <v>D</v>
      </c>
      <c r="F18" s="51"/>
      <c r="G18" s="27"/>
      <c r="H18" s="27"/>
      <c r="I18" s="27"/>
    </row>
    <row r="19" spans="1:9" ht="15">
      <c r="A19" s="8">
        <f>'Tabulka-přehled'!$A20</f>
        <v>2120</v>
      </c>
      <c r="B19" s="53" t="str">
        <f>'Tabulka-přehled'!$B20</f>
        <v>serverovna</v>
      </c>
      <c r="C19" s="53" t="str">
        <f>'Tabulka-přehled'!$P20</f>
        <v>linoleum</v>
      </c>
      <c r="D19" s="10">
        <f>'Tabulka-přehled'!$O20</f>
        <v>12.272</v>
      </c>
      <c r="E19" s="94" t="str">
        <f>'Tabulka-přehled'!$D20</f>
        <v>D</v>
      </c>
      <c r="F19" s="51"/>
      <c r="G19" s="27"/>
      <c r="H19" s="27"/>
      <c r="I19" s="27"/>
    </row>
    <row r="20" spans="1:9" ht="15">
      <c r="A20" s="8">
        <f>'Tabulka-přehled'!$A21</f>
        <v>2130</v>
      </c>
      <c r="B20" s="53" t="str">
        <f>'Tabulka-přehled'!$B21</f>
        <v>kancelář</v>
      </c>
      <c r="C20" s="53" t="str">
        <f>'Tabulka-přehled'!$P21</f>
        <v>koberec</v>
      </c>
      <c r="D20" s="10">
        <f>'Tabulka-přehled'!$O21</f>
        <v>11.991999999999999</v>
      </c>
      <c r="E20" s="94" t="str">
        <f>'Tabulka-přehled'!$D21</f>
        <v>A</v>
      </c>
      <c r="F20" s="51"/>
      <c r="G20" s="27"/>
      <c r="H20" s="27"/>
      <c r="I20" s="27"/>
    </row>
    <row r="21" spans="1:9" ht="15">
      <c r="A21" s="8">
        <f>'Tabulka-přehled'!$A22</f>
        <v>2140</v>
      </c>
      <c r="B21" s="53" t="str">
        <f>'Tabulka-přehled'!$B22</f>
        <v>kancelář</v>
      </c>
      <c r="C21" s="53" t="str">
        <f>'Tabulka-přehled'!$P22</f>
        <v>koberec</v>
      </c>
      <c r="D21" s="10">
        <f>'Tabulka-přehled'!$O22</f>
        <v>12.744</v>
      </c>
      <c r="E21" s="94" t="str">
        <f>'Tabulka-přehled'!$D22</f>
        <v>A</v>
      </c>
      <c r="F21" s="51"/>
      <c r="G21" s="27"/>
      <c r="H21" s="27"/>
      <c r="I21" s="27"/>
    </row>
    <row r="22" spans="1:9" ht="15">
      <c r="A22" s="8">
        <f>'Tabulka-přehled'!$A23</f>
        <v>2150</v>
      </c>
      <c r="B22" s="53" t="str">
        <f>'Tabulka-přehled'!$B23</f>
        <v>kancelář</v>
      </c>
      <c r="C22" s="53" t="str">
        <f>'Tabulka-přehled'!$P23</f>
        <v>koberec</v>
      </c>
      <c r="D22" s="10">
        <f>'Tabulka-přehled'!$O23</f>
        <v>10.540000000000001</v>
      </c>
      <c r="E22" s="94" t="str">
        <f>'Tabulka-přehled'!$D23</f>
        <v>A</v>
      </c>
      <c r="F22" s="51"/>
      <c r="G22" s="27"/>
      <c r="H22" s="27"/>
      <c r="I22" s="27"/>
    </row>
    <row r="23" spans="1:9" ht="15">
      <c r="A23" s="8">
        <f>'Tabulka-přehled'!$A24</f>
        <v>2160</v>
      </c>
      <c r="B23" s="53" t="str">
        <f>'Tabulka-přehled'!$B24</f>
        <v>kancelář</v>
      </c>
      <c r="C23" s="53" t="str">
        <f>'Tabulka-přehled'!$P24</f>
        <v>koberec</v>
      </c>
      <c r="D23" s="10">
        <f>'Tabulka-přehled'!$O24</f>
        <v>12.264</v>
      </c>
      <c r="E23" s="94" t="str">
        <f>'Tabulka-přehled'!$D24</f>
        <v>A</v>
      </c>
      <c r="F23" s="51"/>
      <c r="G23" s="27"/>
      <c r="H23" s="27"/>
      <c r="I23" s="27"/>
    </row>
    <row r="24" spans="1:9" ht="15">
      <c r="A24" s="8">
        <f>'Tabulka-přehled'!$A25</f>
        <v>2170</v>
      </c>
      <c r="B24" s="53" t="str">
        <f>'Tabulka-přehled'!$B25</f>
        <v>kancelář</v>
      </c>
      <c r="C24" s="53" t="str">
        <f>'Tabulka-přehled'!$P25</f>
        <v>koberec</v>
      </c>
      <c r="D24" s="10">
        <f>'Tabulka-přehled'!$O25</f>
        <v>11.968</v>
      </c>
      <c r="E24" s="94" t="str">
        <f>'Tabulka-přehled'!$D25</f>
        <v>A</v>
      </c>
      <c r="F24" s="51"/>
      <c r="G24" s="27"/>
      <c r="H24" s="27"/>
      <c r="I24" s="27"/>
    </row>
    <row r="25" spans="1:9" ht="15">
      <c r="A25" s="8">
        <f>'Tabulka-přehled'!$A26</f>
        <v>2180</v>
      </c>
      <c r="B25" s="53" t="str">
        <f>'Tabulka-přehled'!$B26</f>
        <v>kancelář</v>
      </c>
      <c r="C25" s="53" t="str">
        <f>'Tabulka-přehled'!$P26</f>
        <v>koberec</v>
      </c>
      <c r="D25" s="10">
        <f>'Tabulka-přehled'!$O26</f>
        <v>14</v>
      </c>
      <c r="E25" s="94" t="str">
        <f>'Tabulka-přehled'!$D26</f>
        <v>A</v>
      </c>
      <c r="F25" s="51"/>
      <c r="G25" s="27"/>
      <c r="H25" s="27"/>
      <c r="I25" s="27"/>
    </row>
    <row r="26" spans="1:9" ht="15">
      <c r="A26" s="8">
        <f>'Tabulka-přehled'!$A27</f>
        <v>2190</v>
      </c>
      <c r="B26" s="53" t="str">
        <f>'Tabulka-přehled'!$B27</f>
        <v>pokladna</v>
      </c>
      <c r="C26" s="53" t="str">
        <f>'Tabulka-přehled'!$P27</f>
        <v>koberec</v>
      </c>
      <c r="D26" s="10">
        <f>'Tabulka-přehled'!$O27</f>
        <v>12.4</v>
      </c>
      <c r="E26" s="94" t="str">
        <f>'Tabulka-přehled'!$D27</f>
        <v>A</v>
      </c>
      <c r="F26" s="51"/>
      <c r="G26" s="27"/>
      <c r="H26" s="27"/>
      <c r="I26" s="27"/>
    </row>
    <row r="27" spans="1:9" ht="15">
      <c r="A27" s="8">
        <f>'Tabulka-přehled'!$A28</f>
        <v>2200</v>
      </c>
      <c r="B27" s="53" t="str">
        <f>'Tabulka-přehled'!$B28</f>
        <v>WC</v>
      </c>
      <c r="C27" s="53" t="str">
        <f>'Tabulka-přehled'!$P28</f>
        <v>dlažba</v>
      </c>
      <c r="D27" s="10">
        <f>'Tabulka-přehled'!$O28</f>
        <v>11.4</v>
      </c>
      <c r="E27" s="94" t="str">
        <f>'Tabulka-přehled'!$D28</f>
        <v>A</v>
      </c>
      <c r="F27" s="51"/>
      <c r="G27" s="27"/>
      <c r="H27" s="27"/>
      <c r="I27" s="27"/>
    </row>
    <row r="28" spans="1:9" ht="15">
      <c r="A28" s="8">
        <f>'Tabulka-přehled'!$A29</f>
        <v>2210</v>
      </c>
      <c r="B28" s="53" t="str">
        <f>'Tabulka-přehled'!$B29</f>
        <v>kumbál</v>
      </c>
      <c r="C28" s="53" t="str">
        <f>'Tabulka-přehled'!$P29</f>
        <v>dlažba</v>
      </c>
      <c r="D28" s="10">
        <f>'Tabulka-přehled'!$O29</f>
        <v>3.3</v>
      </c>
      <c r="E28" s="94" t="str">
        <f>'Tabulka-přehled'!$D29</f>
        <v>E</v>
      </c>
      <c r="F28" s="51"/>
      <c r="G28" s="27"/>
      <c r="H28" s="27"/>
      <c r="I28" s="27"/>
    </row>
    <row r="29" spans="1:9" ht="15">
      <c r="A29" s="8">
        <f>'Tabulka-přehled'!$A30</f>
        <v>2220</v>
      </c>
      <c r="B29" s="53" t="str">
        <f>'Tabulka-přehled'!$B30</f>
        <v>atrium</v>
      </c>
      <c r="C29" s="53" t="str">
        <f>'Tabulka-přehled'!$P30</f>
        <v>koberec</v>
      </c>
      <c r="D29" s="10">
        <f>'Tabulka-přehled'!$O30</f>
        <v>19.6</v>
      </c>
      <c r="E29" s="94" t="str">
        <f>'Tabulka-přehled'!$D30</f>
        <v>A</v>
      </c>
      <c r="F29" s="51"/>
      <c r="G29" s="27"/>
      <c r="H29" s="27"/>
      <c r="I29" s="27"/>
    </row>
    <row r="30" spans="1:9" ht="15">
      <c r="A30" s="8">
        <f>'Tabulka-přehled'!$A31</f>
        <v>2230</v>
      </c>
      <c r="B30" s="53" t="str">
        <f>'Tabulka-přehled'!$B31</f>
        <v>předsíňka</v>
      </c>
      <c r="C30" s="53" t="str">
        <f>'Tabulka-přehled'!$P31</f>
        <v>koberec</v>
      </c>
      <c r="D30" s="10">
        <f>'Tabulka-přehled'!$O31</f>
        <v>10.79</v>
      </c>
      <c r="E30" s="94" t="str">
        <f>'Tabulka-přehled'!$D31</f>
        <v>D</v>
      </c>
      <c r="F30" s="51"/>
      <c r="G30" s="27"/>
      <c r="H30" s="27"/>
      <c r="I30" s="27"/>
    </row>
    <row r="31" spans="1:9" ht="15">
      <c r="A31" s="8">
        <f>'Tabulka-přehled'!$A32</f>
        <v>2240</v>
      </c>
      <c r="B31" s="53" t="str">
        <f>'Tabulka-přehled'!$B32</f>
        <v>zasedačka</v>
      </c>
      <c r="C31" s="53" t="str">
        <f>'Tabulka-přehled'!$P32</f>
        <v>koberec</v>
      </c>
      <c r="D31" s="10">
        <f>'Tabulka-přehled'!$O32</f>
        <v>37.669999999999995</v>
      </c>
      <c r="E31" s="94" t="str">
        <f>'Tabulka-přehled'!$D32</f>
        <v>D</v>
      </c>
      <c r="F31" s="51"/>
      <c r="G31" s="27"/>
      <c r="H31" s="27"/>
      <c r="I31" s="27"/>
    </row>
    <row r="32" spans="1:9" ht="15">
      <c r="A32" s="8">
        <f>'Tabulka-přehled'!$A33</f>
        <v>2250</v>
      </c>
      <c r="B32" s="53" t="str">
        <f>'Tabulka-přehled'!$B33</f>
        <v>kancelář</v>
      </c>
      <c r="C32" s="53" t="str">
        <f>'Tabulka-přehled'!$P33</f>
        <v>koberec</v>
      </c>
      <c r="D32" s="10">
        <f>'Tabulka-přehled'!$O33</f>
        <v>13.9</v>
      </c>
      <c r="E32" s="94" t="str">
        <f>'Tabulka-přehled'!$D33</f>
        <v>A</v>
      </c>
      <c r="F32" s="51"/>
      <c r="G32" s="27"/>
      <c r="H32" s="27"/>
      <c r="I32" s="27"/>
    </row>
    <row r="33" spans="1:9" ht="15">
      <c r="A33" s="8">
        <f>'Tabulka-přehled'!$A34</f>
        <v>2260</v>
      </c>
      <c r="B33" s="53" t="str">
        <f>'Tabulka-přehled'!$B34</f>
        <v>kancelář</v>
      </c>
      <c r="C33" s="53" t="str">
        <f>'Tabulka-přehled'!$P34</f>
        <v>koberec</v>
      </c>
      <c r="D33" s="10">
        <f>'Tabulka-přehled'!$O34</f>
        <v>14</v>
      </c>
      <c r="E33" s="94" t="str">
        <f>'Tabulka-přehled'!$D34</f>
        <v>A</v>
      </c>
      <c r="F33" s="51"/>
      <c r="G33" s="27"/>
      <c r="H33" s="27"/>
      <c r="I33" s="27"/>
    </row>
    <row r="34" spans="1:9" ht="15">
      <c r="A34" s="8">
        <f>'Tabulka-přehled'!$A35</f>
        <v>2270</v>
      </c>
      <c r="B34" s="53" t="str">
        <f>'Tabulka-přehled'!$B35</f>
        <v>kancelář</v>
      </c>
      <c r="C34" s="53" t="str">
        <f>'Tabulka-přehled'!$P35</f>
        <v>koberec</v>
      </c>
      <c r="D34" s="10">
        <f>'Tabulka-přehled'!$O35</f>
        <v>26.4</v>
      </c>
      <c r="E34" s="94" t="str">
        <f>'Tabulka-přehled'!$D35</f>
        <v>A</v>
      </c>
      <c r="F34" s="51"/>
      <c r="G34" s="27"/>
      <c r="H34" s="27"/>
      <c r="I34" s="27"/>
    </row>
    <row r="35" spans="1:9" ht="15">
      <c r="A35" s="8">
        <f>'Tabulka-přehled'!$A36</f>
        <v>2280</v>
      </c>
      <c r="B35" s="53" t="str">
        <f>'Tabulka-přehled'!$B36</f>
        <v>kancelář</v>
      </c>
      <c r="C35" s="53" t="str">
        <f>'Tabulka-přehled'!$P36</f>
        <v>koberec</v>
      </c>
      <c r="D35" s="10">
        <f>'Tabulka-přehled'!$O36</f>
        <v>14.4</v>
      </c>
      <c r="E35" s="94" t="str">
        <f>'Tabulka-přehled'!$D36</f>
        <v>B</v>
      </c>
      <c r="F35" s="51"/>
      <c r="G35" s="27"/>
      <c r="H35" s="27"/>
      <c r="I35" s="27"/>
    </row>
    <row r="36" spans="1:9" ht="15">
      <c r="A36" s="8">
        <f>'Tabulka-přehled'!$A37</f>
        <v>2290</v>
      </c>
      <c r="B36" s="53" t="str">
        <f>'Tabulka-přehled'!$B37</f>
        <v>kancelář</v>
      </c>
      <c r="C36" s="53" t="str">
        <f>'Tabulka-přehled'!$P37</f>
        <v>koberec</v>
      </c>
      <c r="D36" s="10">
        <f>'Tabulka-přehled'!$O37</f>
        <v>14.9</v>
      </c>
      <c r="E36" s="94" t="str">
        <f>'Tabulka-přehled'!$D37</f>
        <v>B</v>
      </c>
      <c r="F36" s="51"/>
      <c r="G36" s="27"/>
      <c r="H36" s="27"/>
      <c r="I36" s="27"/>
    </row>
    <row r="37" spans="1:9" ht="15">
      <c r="A37" s="8">
        <f>'Tabulka-přehled'!$A38</f>
        <v>2300</v>
      </c>
      <c r="B37" s="53" t="str">
        <f>'Tabulka-přehled'!$B38</f>
        <v>kancelář</v>
      </c>
      <c r="C37" s="53" t="str">
        <f>'Tabulka-přehled'!$P38</f>
        <v>koberec</v>
      </c>
      <c r="D37" s="10">
        <f>'Tabulka-přehled'!$O38</f>
        <v>13.9</v>
      </c>
      <c r="E37" s="94" t="str">
        <f>'Tabulka-přehled'!$D38</f>
        <v>B</v>
      </c>
      <c r="F37" s="51"/>
      <c r="G37" s="27"/>
      <c r="H37" s="27"/>
      <c r="I37" s="27"/>
    </row>
    <row r="38" spans="1:9" ht="15">
      <c r="A38" s="8">
        <f>'Tabulka-přehled'!$A39</f>
        <v>2310</v>
      </c>
      <c r="B38" s="53" t="str">
        <f>'Tabulka-přehled'!$B39</f>
        <v>kancelář</v>
      </c>
      <c r="C38" s="53" t="str">
        <f>'Tabulka-přehled'!$P39</f>
        <v>koberec</v>
      </c>
      <c r="D38" s="10">
        <f>'Tabulka-přehled'!$O39</f>
        <v>29.5925</v>
      </c>
      <c r="E38" s="94" t="str">
        <f>'Tabulka-přehled'!$D39</f>
        <v>B</v>
      </c>
      <c r="F38" s="51"/>
      <c r="G38" s="27"/>
      <c r="H38" s="27"/>
      <c r="I38" s="27"/>
    </row>
    <row r="39" spans="1:9" ht="15">
      <c r="A39" s="8">
        <f>'Tabulka-přehled'!$A40</f>
        <v>2311</v>
      </c>
      <c r="B39" s="53" t="str">
        <f>'Tabulka-přehled'!$B40</f>
        <v>WC</v>
      </c>
      <c r="C39" s="53" t="str">
        <f>'Tabulka-přehled'!$P40</f>
        <v>dlažba</v>
      </c>
      <c r="D39" s="10">
        <f>'Tabulka-přehled'!$O40</f>
        <v>2.8830000000000005</v>
      </c>
      <c r="E39" s="94" t="str">
        <f>'Tabulka-přehled'!$D40</f>
        <v>A</v>
      </c>
      <c r="F39" s="51"/>
      <c r="G39" s="27"/>
      <c r="H39" s="27"/>
      <c r="I39" s="27"/>
    </row>
    <row r="40" spans="1:9" ht="15">
      <c r="A40" s="8">
        <f>'Tabulka-přehled'!$A41</f>
        <v>2320</v>
      </c>
      <c r="B40" s="53" t="str">
        <f>'Tabulka-přehled'!$B41</f>
        <v>WC</v>
      </c>
      <c r="C40" s="53" t="str">
        <f>'Tabulka-přehled'!$P41</f>
        <v>dlažba</v>
      </c>
      <c r="D40" s="10">
        <f>'Tabulka-přehled'!$O41</f>
        <v>13.216</v>
      </c>
      <c r="E40" s="94" t="str">
        <f>'Tabulka-přehled'!$D41</f>
        <v>A</v>
      </c>
      <c r="F40" s="51"/>
      <c r="G40" s="27"/>
      <c r="H40" s="27"/>
      <c r="I40" s="27"/>
    </row>
    <row r="41" spans="1:9" ht="15">
      <c r="A41" s="8">
        <f>'Tabulka-přehled'!$A42</f>
        <v>2330</v>
      </c>
      <c r="B41" s="53" t="str">
        <f>'Tabulka-přehled'!$B42</f>
        <v>kancelář</v>
      </c>
      <c r="C41" s="53" t="str">
        <f>'Tabulka-přehled'!$P42</f>
        <v>koberec</v>
      </c>
      <c r="D41" s="10">
        <f>'Tabulka-přehled'!$O42</f>
        <v>14.6305</v>
      </c>
      <c r="E41" s="94" t="str">
        <f>'Tabulka-přehled'!$D42</f>
        <v>A</v>
      </c>
      <c r="F41" s="51"/>
      <c r="G41" s="27"/>
      <c r="H41" s="27"/>
      <c r="I41" s="27"/>
    </row>
    <row r="42" spans="1:9" ht="15">
      <c r="A42" s="8">
        <f>'Tabulka-přehled'!$A43</f>
        <v>2340</v>
      </c>
      <c r="B42" s="53" t="str">
        <f>'Tabulka-přehled'!$B43</f>
        <v>kancelář</v>
      </c>
      <c r="C42" s="53" t="str">
        <f>'Tabulka-přehled'!$P43</f>
        <v>koberec</v>
      </c>
      <c r="D42" s="10">
        <f>'Tabulka-přehled'!$O43</f>
        <v>13.392</v>
      </c>
      <c r="E42" s="94" t="str">
        <f>'Tabulka-přehled'!$D43</f>
        <v>A</v>
      </c>
      <c r="F42" s="51"/>
      <c r="G42" s="27"/>
      <c r="H42" s="27"/>
      <c r="I42" s="27"/>
    </row>
    <row r="43" spans="1:9" ht="15">
      <c r="A43" s="8">
        <f>'Tabulka-přehled'!$A44</f>
        <v>2350</v>
      </c>
      <c r="B43" s="53" t="str">
        <f>'Tabulka-přehled'!$B44</f>
        <v>kancelář</v>
      </c>
      <c r="C43" s="53" t="str">
        <f>'Tabulka-přehled'!$P44</f>
        <v>koberec</v>
      </c>
      <c r="D43" s="10">
        <f>'Tabulka-přehled'!$O44</f>
        <v>90.34799999999998</v>
      </c>
      <c r="E43" s="94" t="str">
        <f>'Tabulka-přehled'!$D44</f>
        <v>A</v>
      </c>
      <c r="F43" s="51"/>
      <c r="G43" s="27"/>
      <c r="H43" s="27"/>
      <c r="I43" s="27"/>
    </row>
    <row r="44" spans="1:9" ht="15">
      <c r="A44" s="8">
        <f>'Tabulka-přehled'!$A45</f>
        <v>2360</v>
      </c>
      <c r="B44" s="53" t="str">
        <f>'Tabulka-přehled'!$B45</f>
        <v>WC</v>
      </c>
      <c r="C44" s="53" t="str">
        <f>'Tabulka-přehled'!$P45</f>
        <v>dlažba</v>
      </c>
      <c r="D44" s="10">
        <f>'Tabulka-přehled'!$O45</f>
        <v>2.9160000000000004</v>
      </c>
      <c r="E44" s="94" t="str">
        <f>'Tabulka-přehled'!$D45</f>
        <v>A</v>
      </c>
      <c r="F44" s="51"/>
      <c r="G44" s="27"/>
      <c r="H44" s="27"/>
      <c r="I44" s="27"/>
    </row>
    <row r="45" spans="1:9" ht="15">
      <c r="A45" s="8">
        <f>'Tabulka-přehled'!$A46</f>
        <v>2361</v>
      </c>
      <c r="B45" s="53" t="str">
        <f>'Tabulka-přehled'!$B46</f>
        <v>WC</v>
      </c>
      <c r="C45" s="53" t="str">
        <f>'Tabulka-přehled'!$P46</f>
        <v>dlažba</v>
      </c>
      <c r="D45" s="10">
        <f>'Tabulka-přehled'!$O46</f>
        <v>5.448</v>
      </c>
      <c r="E45" s="94" t="str">
        <f>'Tabulka-přehled'!$D46</f>
        <v>A</v>
      </c>
      <c r="F45" s="51"/>
      <c r="G45" s="27"/>
      <c r="H45" s="27"/>
      <c r="I45" s="27"/>
    </row>
    <row r="46" spans="1:9" ht="15">
      <c r="A46" s="8">
        <f>'Tabulka-přehled'!$A47</f>
        <v>2370</v>
      </c>
      <c r="B46" s="53" t="str">
        <f>'Tabulka-přehled'!$B47</f>
        <v>kancelář</v>
      </c>
      <c r="C46" s="53" t="str">
        <f>'Tabulka-přehled'!$P47</f>
        <v>koberec</v>
      </c>
      <c r="D46" s="10">
        <f>'Tabulka-přehled'!$O47</f>
        <v>17.8</v>
      </c>
      <c r="E46" s="94" t="str">
        <f>'Tabulka-přehled'!$D47</f>
        <v>B</v>
      </c>
      <c r="F46" s="51"/>
      <c r="G46" s="27"/>
      <c r="H46" s="27"/>
      <c r="I46" s="27"/>
    </row>
    <row r="47" spans="1:9" ht="15">
      <c r="A47" s="8">
        <f>'Tabulka-přehled'!$A48</f>
        <v>2380</v>
      </c>
      <c r="B47" s="53" t="str">
        <f>'Tabulka-přehled'!$B48</f>
        <v>kancelář</v>
      </c>
      <c r="C47" s="53" t="str">
        <f>'Tabulka-přehled'!$P48</f>
        <v>koberec</v>
      </c>
      <c r="D47" s="10">
        <f>'Tabulka-přehled'!$O48</f>
        <v>21.09</v>
      </c>
      <c r="E47" s="94" t="str">
        <f>'Tabulka-přehled'!$D48</f>
        <v>A</v>
      </c>
      <c r="F47" s="51"/>
      <c r="G47" s="27"/>
      <c r="H47" s="27"/>
      <c r="I47" s="27"/>
    </row>
    <row r="48" spans="1:9" ht="15">
      <c r="A48" s="8">
        <f>'Tabulka-přehled'!$A49</f>
        <v>2390</v>
      </c>
      <c r="B48" s="53" t="str">
        <f>'Tabulka-přehled'!$B49</f>
        <v>kancelář</v>
      </c>
      <c r="C48" s="53" t="str">
        <f>'Tabulka-přehled'!$P49</f>
        <v>koberec</v>
      </c>
      <c r="D48" s="10">
        <f>'Tabulka-přehled'!$O49</f>
        <v>16.099999999999998</v>
      </c>
      <c r="E48" s="94" t="str">
        <f>'Tabulka-přehled'!$D49</f>
        <v>B</v>
      </c>
      <c r="F48" s="51"/>
      <c r="G48" s="27"/>
      <c r="H48" s="27"/>
      <c r="I48" s="27"/>
    </row>
    <row r="49" spans="1:9" ht="15">
      <c r="A49" s="8">
        <f>'Tabulka-přehled'!$A50</f>
        <v>2400</v>
      </c>
      <c r="B49" s="53" t="str">
        <f>'Tabulka-přehled'!$B50</f>
        <v>kancelář</v>
      </c>
      <c r="C49" s="53" t="str">
        <f>'Tabulka-přehled'!$P50</f>
        <v>koberec</v>
      </c>
      <c r="D49" s="10">
        <f>'Tabulka-přehled'!$O50</f>
        <v>22.740000000000002</v>
      </c>
      <c r="E49" s="94" t="str">
        <f>'Tabulka-přehled'!$D50</f>
        <v>B</v>
      </c>
      <c r="F49" s="51"/>
      <c r="G49" s="27"/>
      <c r="H49" s="27"/>
      <c r="I49" s="27"/>
    </row>
    <row r="50" spans="1:9" ht="15">
      <c r="A50" s="8">
        <f>'Tabulka-přehled'!$A51</f>
        <v>2410</v>
      </c>
      <c r="B50" s="53" t="str">
        <f>'Tabulka-přehled'!$B51</f>
        <v>kancelář</v>
      </c>
      <c r="C50" s="53" t="str">
        <f>'Tabulka-přehled'!$P51</f>
        <v>koberec</v>
      </c>
      <c r="D50" s="10">
        <f>'Tabulka-přehled'!$O51</f>
        <v>18.06</v>
      </c>
      <c r="E50" s="94" t="str">
        <f>'Tabulka-přehled'!$D51</f>
        <v>B</v>
      </c>
      <c r="F50" s="51"/>
      <c r="G50" s="27"/>
      <c r="H50" s="27"/>
      <c r="I50" s="27"/>
    </row>
    <row r="51" spans="1:9" ht="15">
      <c r="A51" s="8">
        <f>'Tabulka-přehled'!$A52</f>
        <v>2501</v>
      </c>
      <c r="B51" s="53" t="str">
        <f>'Tabulka-přehled'!$B52</f>
        <v>chodba</v>
      </c>
      <c r="C51" s="53" t="str">
        <f>'Tabulka-přehled'!$P52</f>
        <v>dlažba</v>
      </c>
      <c r="D51" s="10">
        <f>'Tabulka-přehled'!$O52</f>
        <v>53.02000000000001</v>
      </c>
      <c r="E51" s="94" t="str">
        <f>'Tabulka-přehled'!$D52</f>
        <v>A</v>
      </c>
      <c r="F51" s="51"/>
      <c r="G51" s="27"/>
      <c r="H51" s="27"/>
      <c r="I51" s="27"/>
    </row>
    <row r="52" spans="1:9" ht="15">
      <c r="A52" s="8">
        <f>'Tabulka-přehled'!$A53</f>
        <v>2502</v>
      </c>
      <c r="B52" s="53" t="str">
        <f>'Tabulka-přehled'!$B53</f>
        <v>chodba</v>
      </c>
      <c r="C52" s="53" t="str">
        <f>'Tabulka-přehled'!$P53</f>
        <v>dlažba</v>
      </c>
      <c r="D52" s="10">
        <f>'Tabulka-přehled'!$O53</f>
        <v>53.3</v>
      </c>
      <c r="E52" s="94" t="str">
        <f>'Tabulka-přehled'!$D53</f>
        <v>A</v>
      </c>
      <c r="F52" s="51"/>
      <c r="G52" s="27"/>
      <c r="H52" s="27"/>
      <c r="I52" s="27"/>
    </row>
    <row r="53" spans="1:9" ht="15">
      <c r="A53" s="8">
        <f>'Tabulka-přehled'!$A54</f>
        <v>2503</v>
      </c>
      <c r="B53" s="53" t="str">
        <f>'Tabulka-přehled'!$B54</f>
        <v>chodba</v>
      </c>
      <c r="C53" s="53" t="str">
        <f>'Tabulka-přehled'!$P54</f>
        <v>dlažba</v>
      </c>
      <c r="D53" s="10">
        <f>'Tabulka-přehled'!$O54</f>
        <v>93.2593</v>
      </c>
      <c r="E53" s="94" t="str">
        <f>'Tabulka-přehled'!$D54</f>
        <v>A</v>
      </c>
      <c r="F53" s="51"/>
      <c r="G53" s="27"/>
      <c r="H53" s="27"/>
      <c r="I53" s="27"/>
    </row>
    <row r="54" spans="1:9" ht="15">
      <c r="A54" s="8">
        <f>'Tabulka-přehled'!$A55</f>
        <v>2504</v>
      </c>
      <c r="B54" s="53" t="str">
        <f>'Tabulka-přehled'!$B55</f>
        <v>chodba</v>
      </c>
      <c r="C54" s="53" t="str">
        <f>'Tabulka-přehled'!$P55</f>
        <v>dlažba</v>
      </c>
      <c r="D54" s="10">
        <f>'Tabulka-přehled'!$O55</f>
        <v>12.152</v>
      </c>
      <c r="E54" s="94" t="str">
        <f>'Tabulka-přehled'!$D55</f>
        <v>A</v>
      </c>
      <c r="F54" s="51"/>
      <c r="G54" s="27"/>
      <c r="H54" s="27"/>
      <c r="I54" s="27"/>
    </row>
    <row r="55" spans="1:9" ht="15">
      <c r="A55" s="8">
        <f>'Tabulka-přehled'!$A56</f>
        <v>2505</v>
      </c>
      <c r="B55" s="53" t="str">
        <f>'Tabulka-přehled'!$B56</f>
        <v>chodba</v>
      </c>
      <c r="C55" s="53" t="str">
        <f>'Tabulka-přehled'!$P56</f>
        <v>dlažba</v>
      </c>
      <c r="D55" s="10">
        <f>'Tabulka-přehled'!$O56</f>
        <v>13.2</v>
      </c>
      <c r="E55" s="94" t="str">
        <f>'Tabulka-přehled'!$D56</f>
        <v>A</v>
      </c>
      <c r="F55" s="51"/>
      <c r="G55" s="27"/>
      <c r="H55" s="27"/>
      <c r="I55" s="27"/>
    </row>
    <row r="56" spans="1:9" ht="15">
      <c r="A56" s="8">
        <f>'Tabulka-přehled'!$A57</f>
        <v>2506</v>
      </c>
      <c r="B56" s="53" t="str">
        <f>'Tabulka-přehled'!$B57</f>
        <v>chodba</v>
      </c>
      <c r="C56" s="53" t="str">
        <f>'Tabulka-přehled'!$P57</f>
        <v>dlažba</v>
      </c>
      <c r="D56" s="10">
        <f>'Tabulka-přehled'!$O57</f>
        <v>4.4</v>
      </c>
      <c r="E56" s="94" t="str">
        <f>'Tabulka-přehled'!$D57</f>
        <v>A</v>
      </c>
      <c r="F56" s="51"/>
      <c r="G56" s="27"/>
      <c r="H56" s="27"/>
      <c r="I56" s="27"/>
    </row>
    <row r="57" spans="1:9" ht="15">
      <c r="A57" s="8">
        <f>'Tabulka-přehled'!$A58</f>
        <v>2601</v>
      </c>
      <c r="B57" s="53" t="str">
        <f>'Tabulka-přehled'!$B58</f>
        <v>schodiště </v>
      </c>
      <c r="C57" s="53" t="str">
        <f>'Tabulka-přehled'!$P58</f>
        <v>dlažba</v>
      </c>
      <c r="D57" s="10">
        <f>'Tabulka-přehled'!$O58</f>
        <v>18</v>
      </c>
      <c r="E57" s="94" t="str">
        <f>'Tabulka-přehled'!$D58</f>
        <v>A</v>
      </c>
      <c r="F57" s="51"/>
      <c r="G57" s="27"/>
      <c r="H57" s="27"/>
      <c r="I57" s="27"/>
    </row>
    <row r="58" spans="1:9" ht="15">
      <c r="A58" s="8">
        <f>'Tabulka-přehled'!$A59</f>
        <v>2602</v>
      </c>
      <c r="B58" s="53" t="str">
        <f>'Tabulka-přehled'!$B59</f>
        <v>schodiště </v>
      </c>
      <c r="C58" s="53" t="str">
        <f>'Tabulka-přehled'!$P59</f>
        <v>dlažba</v>
      </c>
      <c r="D58" s="10">
        <f>'Tabulka-přehled'!$O59</f>
        <v>22.740000000000002</v>
      </c>
      <c r="E58" s="94" t="str">
        <f>'Tabulka-přehled'!$D59</f>
        <v>A</v>
      </c>
      <c r="F58" s="51"/>
      <c r="G58" s="27"/>
      <c r="H58" s="27"/>
      <c r="I58" s="27"/>
    </row>
    <row r="59" spans="1:9" ht="15.75" thickBot="1">
      <c r="A59" s="85">
        <f>'Tabulka-přehled'!$A60</f>
        <v>2603</v>
      </c>
      <c r="B59" s="86" t="str">
        <f>'Tabulka-přehled'!$B60</f>
        <v>schodiště </v>
      </c>
      <c r="C59" s="86" t="str">
        <f>'Tabulka-přehled'!$P60</f>
        <v>dlažba</v>
      </c>
      <c r="D59" s="87">
        <f>'Tabulka-přehled'!$O60</f>
        <v>14.2</v>
      </c>
      <c r="E59" s="95" t="str">
        <f>'Tabulka-přehled'!$D60</f>
        <v>A</v>
      </c>
      <c r="F59" s="88"/>
      <c r="G59" s="90"/>
      <c r="H59" s="90"/>
      <c r="I59" s="90"/>
    </row>
    <row r="60" spans="1:9" ht="15.75" thickTop="1">
      <c r="A60" s="82">
        <f>'Tabulka-přehled'!$A61</f>
        <v>3010</v>
      </c>
      <c r="B60" s="83" t="str">
        <f>'Tabulka-přehled'!$B61</f>
        <v>kancelář</v>
      </c>
      <c r="C60" s="83" t="str">
        <f>'Tabulka-přehled'!$P61</f>
        <v>koberec</v>
      </c>
      <c r="D60" s="84">
        <f>'Tabulka-přehled'!$O61</f>
        <v>14.9</v>
      </c>
      <c r="E60" s="96" t="s">
        <v>359</v>
      </c>
      <c r="F60" s="51"/>
      <c r="G60" s="89"/>
      <c r="H60" s="89"/>
      <c r="I60" s="89"/>
    </row>
    <row r="61" spans="1:9" ht="15">
      <c r="A61" s="8">
        <f>'Tabulka-přehled'!$A62</f>
        <v>3020</v>
      </c>
      <c r="B61" s="53" t="str">
        <f>'Tabulka-přehled'!$B62</f>
        <v>kancelář</v>
      </c>
      <c r="C61" s="53" t="str">
        <f>'Tabulka-přehled'!$P62</f>
        <v>koberec</v>
      </c>
      <c r="D61" s="10">
        <f>'Tabulka-přehled'!$O62</f>
        <v>28.25</v>
      </c>
      <c r="E61" s="94" t="str">
        <f>'Tabulka-přehled'!$D62</f>
        <v>B</v>
      </c>
      <c r="F61" s="51"/>
      <c r="G61" s="27"/>
      <c r="H61" s="27"/>
      <c r="I61" s="27"/>
    </row>
    <row r="62" spans="1:9" ht="15">
      <c r="A62" s="8">
        <f>'Tabulka-přehled'!$A63</f>
        <v>3030</v>
      </c>
      <c r="B62" s="53" t="str">
        <f>'Tabulka-přehled'!$B63</f>
        <v>kancelář</v>
      </c>
      <c r="C62" s="53" t="str">
        <f>'Tabulka-přehled'!$P63</f>
        <v>koberec</v>
      </c>
      <c r="D62" s="10">
        <f>'Tabulka-přehled'!$O63</f>
        <v>16.1</v>
      </c>
      <c r="E62" s="94" t="str">
        <f>'Tabulka-přehled'!$D63</f>
        <v>B</v>
      </c>
      <c r="F62" s="51"/>
      <c r="G62" s="27"/>
      <c r="H62" s="27"/>
      <c r="I62" s="27"/>
    </row>
    <row r="63" spans="1:9" ht="15">
      <c r="A63" s="8">
        <f>'Tabulka-přehled'!$A64</f>
        <v>3040</v>
      </c>
      <c r="B63" s="53" t="str">
        <f>'Tabulka-přehled'!$B64</f>
        <v>kancelář</v>
      </c>
      <c r="C63" s="53" t="str">
        <f>'Tabulka-přehled'!$P64</f>
        <v>koberec</v>
      </c>
      <c r="D63" s="10">
        <f>'Tabulka-přehled'!$O64</f>
        <v>15.1</v>
      </c>
      <c r="E63" s="94" t="str">
        <f>'Tabulka-přehled'!$D64</f>
        <v>B</v>
      </c>
      <c r="F63" s="51"/>
      <c r="G63" s="27"/>
      <c r="H63" s="27"/>
      <c r="I63" s="27"/>
    </row>
    <row r="64" spans="1:9" ht="15">
      <c r="A64" s="8">
        <f>'Tabulka-přehled'!$A65</f>
        <v>3050</v>
      </c>
      <c r="B64" s="53" t="str">
        <f>'Tabulka-přehled'!$B65</f>
        <v>kancelář</v>
      </c>
      <c r="C64" s="53" t="str">
        <f>'Tabulka-přehled'!$P65</f>
        <v>koberec</v>
      </c>
      <c r="D64" s="10">
        <f>'Tabulka-přehled'!$O65</f>
        <v>26.15</v>
      </c>
      <c r="E64" s="94" t="str">
        <f>'Tabulka-přehled'!$D65</f>
        <v>B</v>
      </c>
      <c r="F64" s="51"/>
      <c r="G64" s="27"/>
      <c r="H64" s="27"/>
      <c r="I64" s="27"/>
    </row>
    <row r="65" spans="1:9" ht="15">
      <c r="A65" s="8">
        <f>'Tabulka-přehled'!$A66</f>
        <v>3060</v>
      </c>
      <c r="B65" s="53" t="str">
        <f>'Tabulka-přehled'!$B66</f>
        <v>kancelář</v>
      </c>
      <c r="C65" s="53" t="str">
        <f>'Tabulka-přehled'!$P66</f>
        <v>koberec</v>
      </c>
      <c r="D65" s="10">
        <f>'Tabulka-přehled'!$O66</f>
        <v>14.6</v>
      </c>
      <c r="E65" s="94" t="str">
        <f>'Tabulka-přehled'!$D66</f>
        <v>B</v>
      </c>
      <c r="F65" s="51"/>
      <c r="G65" s="27"/>
      <c r="H65" s="27"/>
      <c r="I65" s="27"/>
    </row>
    <row r="66" spans="1:9" ht="15">
      <c r="A66" s="8">
        <f>'Tabulka-přehled'!$A67</f>
        <v>3070</v>
      </c>
      <c r="B66" s="53" t="str">
        <f>'Tabulka-přehled'!$B67</f>
        <v>kancelář</v>
      </c>
      <c r="C66" s="53" t="str">
        <f>'Tabulka-přehled'!$P67</f>
        <v>koberec</v>
      </c>
      <c r="D66" s="10">
        <f>'Tabulka-přehled'!$O67</f>
        <v>28.099999999999998</v>
      </c>
      <c r="E66" s="94" t="str">
        <f>'Tabulka-přehled'!$D67</f>
        <v>B</v>
      </c>
      <c r="F66" s="51"/>
      <c r="G66" s="27"/>
      <c r="H66" s="27"/>
      <c r="I66" s="27"/>
    </row>
    <row r="67" spans="1:9" ht="15">
      <c r="A67" s="8">
        <f>'Tabulka-přehled'!$A68</f>
        <v>3080</v>
      </c>
      <c r="B67" s="53" t="str">
        <f>'Tabulka-přehled'!$B68</f>
        <v>kancelář</v>
      </c>
      <c r="C67" s="53" t="str">
        <f>'Tabulka-přehled'!$P68</f>
        <v>koberec</v>
      </c>
      <c r="D67" s="10">
        <f>'Tabulka-přehled'!$O68</f>
        <v>26.15</v>
      </c>
      <c r="E67" s="94" t="str">
        <f>'Tabulka-přehled'!$D68</f>
        <v>B</v>
      </c>
      <c r="F67" s="51"/>
      <c r="G67" s="27"/>
      <c r="H67" s="27"/>
      <c r="I67" s="27"/>
    </row>
    <row r="68" spans="1:9" ht="15">
      <c r="A68" s="8">
        <f>'Tabulka-přehled'!$A69</f>
        <v>3090</v>
      </c>
      <c r="B68" s="53" t="str">
        <f>'Tabulka-přehled'!$B69</f>
        <v>kancelář</v>
      </c>
      <c r="C68" s="53" t="str">
        <f>'Tabulka-přehled'!$P69</f>
        <v>koberec</v>
      </c>
      <c r="D68" s="10">
        <f>'Tabulka-přehled'!$O69</f>
        <v>18</v>
      </c>
      <c r="E68" s="94" t="str">
        <f>'Tabulka-přehled'!$D69</f>
        <v>B</v>
      </c>
      <c r="F68" s="51"/>
      <c r="G68" s="27"/>
      <c r="H68" s="27"/>
      <c r="I68" s="27"/>
    </row>
    <row r="69" spans="1:9" ht="15">
      <c r="A69" s="8">
        <f>'Tabulka-přehled'!$A70</f>
        <v>3100</v>
      </c>
      <c r="B69" s="53" t="str">
        <f>'Tabulka-přehled'!$B70</f>
        <v>kancelář</v>
      </c>
      <c r="C69" s="53" t="str">
        <f>'Tabulka-přehled'!$P70</f>
        <v>koberec</v>
      </c>
      <c r="D69" s="10">
        <f>'Tabulka-přehled'!$O70</f>
        <v>8.8</v>
      </c>
      <c r="E69" s="94" t="str">
        <f>'Tabulka-přehled'!$D70</f>
        <v>B</v>
      </c>
      <c r="F69" s="51"/>
      <c r="G69" s="27"/>
      <c r="H69" s="27"/>
      <c r="I69" s="27"/>
    </row>
    <row r="70" spans="1:9" ht="15">
      <c r="A70" s="8">
        <f>'Tabulka-přehled'!$A71</f>
        <v>3110</v>
      </c>
      <c r="B70" s="53" t="str">
        <f>'Tabulka-přehled'!$B71</f>
        <v>kancelář</v>
      </c>
      <c r="C70" s="53" t="str">
        <f>'Tabulka-přehled'!$P71</f>
        <v>koberec</v>
      </c>
      <c r="D70" s="10">
        <f>'Tabulka-přehled'!$O71</f>
        <v>18.6</v>
      </c>
      <c r="E70" s="94" t="str">
        <f>'Tabulka-přehled'!$D71</f>
        <v>B</v>
      </c>
      <c r="F70" s="51"/>
      <c r="G70" s="27"/>
      <c r="H70" s="27"/>
      <c r="I70" s="27"/>
    </row>
    <row r="71" spans="1:9" ht="15">
      <c r="A71" s="8">
        <f>'Tabulka-přehled'!$A72</f>
        <v>3120</v>
      </c>
      <c r="B71" s="53" t="str">
        <f>'Tabulka-přehled'!$B72</f>
        <v>kancelář</v>
      </c>
      <c r="C71" s="53" t="str">
        <f>'Tabulka-přehled'!$P72</f>
        <v>koberec</v>
      </c>
      <c r="D71" s="10">
        <f>'Tabulka-přehled'!$O72</f>
        <v>14.5</v>
      </c>
      <c r="E71" s="94" t="str">
        <f>'Tabulka-přehled'!$D72</f>
        <v>B</v>
      </c>
      <c r="F71" s="51"/>
      <c r="G71" s="27"/>
      <c r="H71" s="27"/>
      <c r="I71" s="27"/>
    </row>
    <row r="72" spans="1:9" ht="15">
      <c r="A72" s="8">
        <f>'Tabulka-přehled'!$A73</f>
        <v>3130</v>
      </c>
      <c r="B72" s="53" t="str">
        <f>'Tabulka-přehled'!$B73</f>
        <v>kancelář</v>
      </c>
      <c r="C72" s="53" t="str">
        <f>'Tabulka-přehled'!$P73</f>
        <v>koberec</v>
      </c>
      <c r="D72" s="10">
        <f>'Tabulka-přehled'!$O73</f>
        <v>25.9</v>
      </c>
      <c r="E72" s="94" t="str">
        <f>'Tabulka-přehled'!$D73</f>
        <v>B</v>
      </c>
      <c r="F72" s="51"/>
      <c r="G72" s="27"/>
      <c r="H72" s="27"/>
      <c r="I72" s="27"/>
    </row>
    <row r="73" spans="1:9" ht="15">
      <c r="A73" s="8">
        <f>'Tabulka-přehled'!$A74</f>
        <v>3140</v>
      </c>
      <c r="B73" s="53" t="str">
        <f>'Tabulka-přehled'!$B74</f>
        <v>kancelář</v>
      </c>
      <c r="C73" s="53" t="str">
        <f>'Tabulka-přehled'!$P74</f>
        <v>koberec</v>
      </c>
      <c r="D73" s="10">
        <f>'Tabulka-přehled'!$O74</f>
        <v>15</v>
      </c>
      <c r="E73" s="94" t="str">
        <f>'Tabulka-přehled'!$D74</f>
        <v>B</v>
      </c>
      <c r="F73" s="51"/>
      <c r="G73" s="27"/>
      <c r="H73" s="27"/>
      <c r="I73" s="27"/>
    </row>
    <row r="74" spans="1:9" ht="15">
      <c r="A74" s="8">
        <f>'Tabulka-přehled'!$A75</f>
        <v>3150</v>
      </c>
      <c r="B74" s="53" t="str">
        <f>'Tabulka-přehled'!$B75</f>
        <v>kancelář</v>
      </c>
      <c r="C74" s="53" t="str">
        <f>'Tabulka-přehled'!$P75</f>
        <v>koberec</v>
      </c>
      <c r="D74" s="10">
        <f>'Tabulka-přehled'!$O75</f>
        <v>30</v>
      </c>
      <c r="E74" s="94" t="str">
        <f>'Tabulka-přehled'!$D75</f>
        <v>B</v>
      </c>
      <c r="F74" s="51"/>
      <c r="G74" s="27"/>
      <c r="H74" s="27"/>
      <c r="I74" s="27"/>
    </row>
    <row r="75" spans="1:9" ht="15">
      <c r="A75" s="8">
        <f>'Tabulka-přehled'!$A76</f>
        <v>3160</v>
      </c>
      <c r="B75" s="53" t="str">
        <f>'Tabulka-přehled'!$B76</f>
        <v>WC</v>
      </c>
      <c r="C75" s="53" t="str">
        <f>'Tabulka-přehled'!$P76</f>
        <v>dlažba</v>
      </c>
      <c r="D75" s="10">
        <f>'Tabulka-přehled'!$O76</f>
        <v>13.4</v>
      </c>
      <c r="E75" s="94" t="str">
        <f>'Tabulka-přehled'!$D76</f>
        <v>A</v>
      </c>
      <c r="F75" s="51"/>
      <c r="G75" s="27"/>
      <c r="H75" s="27"/>
      <c r="I75" s="27"/>
    </row>
    <row r="76" spans="1:9" ht="15">
      <c r="A76" s="8">
        <f>'Tabulka-přehled'!$A77</f>
        <v>3170</v>
      </c>
      <c r="B76" s="53" t="str">
        <f>'Tabulka-přehled'!$B77</f>
        <v>sklad</v>
      </c>
      <c r="C76" s="53" t="str">
        <f>'Tabulka-přehled'!$P77</f>
        <v>dlažba</v>
      </c>
      <c r="D76" s="10">
        <f>'Tabulka-přehled'!$O77</f>
        <v>3.3</v>
      </c>
      <c r="E76" s="94" t="str">
        <f>'Tabulka-přehled'!$D77</f>
        <v>E</v>
      </c>
      <c r="F76" s="51"/>
      <c r="G76" s="27"/>
      <c r="H76" s="27"/>
      <c r="I76" s="27"/>
    </row>
    <row r="77" spans="1:9" ht="15">
      <c r="A77" s="8">
        <f>'Tabulka-přehled'!$A78</f>
        <v>3180</v>
      </c>
      <c r="B77" s="53" t="str">
        <f>'Tabulka-přehled'!$B78</f>
        <v>kancelář</v>
      </c>
      <c r="C77" s="53" t="str">
        <f>'Tabulka-přehled'!$P78</f>
        <v>koberec</v>
      </c>
      <c r="D77" s="10">
        <f>'Tabulka-přehled'!$O78</f>
        <v>16.9</v>
      </c>
      <c r="E77" s="94" t="str">
        <f>'Tabulka-přehled'!$D78</f>
        <v>B</v>
      </c>
      <c r="F77" s="51"/>
      <c r="G77" s="27"/>
      <c r="H77" s="27"/>
      <c r="I77" s="27"/>
    </row>
    <row r="78" spans="1:9" ht="15">
      <c r="A78" s="8">
        <f>'Tabulka-přehled'!$A79</f>
        <v>3190</v>
      </c>
      <c r="B78" s="53" t="str">
        <f>'Tabulka-přehled'!$B79</f>
        <v>kancelář</v>
      </c>
      <c r="C78" s="53" t="str">
        <f>'Tabulka-přehled'!$P79</f>
        <v>koberec</v>
      </c>
      <c r="D78" s="10">
        <f>'Tabulka-přehled'!$O79</f>
        <v>12.5</v>
      </c>
      <c r="E78" s="94" t="str">
        <f>'Tabulka-přehled'!$D79</f>
        <v>B</v>
      </c>
      <c r="F78" s="51"/>
      <c r="G78" s="27"/>
      <c r="H78" s="27"/>
      <c r="I78" s="27"/>
    </row>
    <row r="79" spans="1:9" ht="15">
      <c r="A79" s="8">
        <f>'Tabulka-přehled'!$A80</f>
        <v>3200</v>
      </c>
      <c r="B79" s="53" t="str">
        <f>'Tabulka-přehled'!$B80</f>
        <v>kancelář</v>
      </c>
      <c r="C79" s="53" t="str">
        <f>'Tabulka-přehled'!$P80</f>
        <v>linoleum</v>
      </c>
      <c r="D79" s="10">
        <f>'Tabulka-přehled'!$O80</f>
        <v>27.9</v>
      </c>
      <c r="E79" s="94" t="str">
        <f>'Tabulka-přehled'!$D80</f>
        <v>B</v>
      </c>
      <c r="F79" s="51"/>
      <c r="G79" s="27"/>
      <c r="H79" s="27"/>
      <c r="I79" s="27"/>
    </row>
    <row r="80" spans="1:9" ht="15">
      <c r="A80" s="8">
        <f>'Tabulka-přehled'!$A81</f>
        <v>3210</v>
      </c>
      <c r="B80" s="53" t="str">
        <f>'Tabulka-přehled'!$B81</f>
        <v>kancelář</v>
      </c>
      <c r="C80" s="53" t="str">
        <f>'Tabulka-přehled'!$P81</f>
        <v>koberec</v>
      </c>
      <c r="D80" s="10">
        <f>'Tabulka-přehled'!$O81</f>
        <v>14.9</v>
      </c>
      <c r="E80" s="94" t="str">
        <f>'Tabulka-přehled'!$D81</f>
        <v>B</v>
      </c>
      <c r="F80" s="51"/>
      <c r="G80" s="27"/>
      <c r="H80" s="27"/>
      <c r="I80" s="27"/>
    </row>
    <row r="81" spans="1:9" ht="15">
      <c r="A81" s="8">
        <f>'Tabulka-přehled'!$A82</f>
        <v>3220</v>
      </c>
      <c r="B81" s="53" t="str">
        <f>'Tabulka-přehled'!$B82</f>
        <v>kancelář</v>
      </c>
      <c r="C81" s="53" t="str">
        <f>'Tabulka-přehled'!$P82</f>
        <v>koberec</v>
      </c>
      <c r="D81" s="10">
        <f>'Tabulka-přehled'!$O82</f>
        <v>28.400000000000002</v>
      </c>
      <c r="E81" s="94" t="str">
        <f>'Tabulka-přehled'!$D82</f>
        <v>B</v>
      </c>
      <c r="F81" s="51"/>
      <c r="G81" s="27"/>
      <c r="H81" s="27"/>
      <c r="I81" s="27"/>
    </row>
    <row r="82" spans="1:9" ht="15">
      <c r="A82" s="8">
        <f>'Tabulka-přehled'!$A83</f>
        <v>3230</v>
      </c>
      <c r="B82" s="53" t="str">
        <f>'Tabulka-přehled'!$B83</f>
        <v>kancelář</v>
      </c>
      <c r="C82" s="53" t="str">
        <f>'Tabulka-přehled'!$P83</f>
        <v>koberec</v>
      </c>
      <c r="D82" s="10">
        <f>'Tabulka-přehled'!$O83</f>
        <v>13.9</v>
      </c>
      <c r="E82" s="94" t="str">
        <f>'Tabulka-přehled'!$D83</f>
        <v>B</v>
      </c>
      <c r="F82" s="51"/>
      <c r="G82" s="27"/>
      <c r="H82" s="27"/>
      <c r="I82" s="27"/>
    </row>
    <row r="83" spans="1:9" ht="15">
      <c r="A83" s="8">
        <f>'Tabulka-přehled'!$A84</f>
        <v>3240</v>
      </c>
      <c r="B83" s="53" t="str">
        <f>'Tabulka-přehled'!$B84</f>
        <v>kancelář</v>
      </c>
      <c r="C83" s="53" t="str">
        <f>'Tabulka-přehled'!$P84</f>
        <v>koberec</v>
      </c>
      <c r="D83" s="10">
        <f>'Tabulka-přehled'!$O84</f>
        <v>26</v>
      </c>
      <c r="E83" s="94" t="str">
        <f>'Tabulka-přehled'!$D84</f>
        <v>A</v>
      </c>
      <c r="F83" s="51"/>
      <c r="G83" s="27"/>
      <c r="H83" s="27"/>
      <c r="I83" s="27"/>
    </row>
    <row r="84" spans="1:9" ht="15">
      <c r="A84" s="8">
        <f>'Tabulka-přehled'!$A85</f>
        <v>3250</v>
      </c>
      <c r="B84" s="53" t="str">
        <f>'Tabulka-přehled'!$B85</f>
        <v>kancelář</v>
      </c>
      <c r="C84" s="53" t="str">
        <f>'Tabulka-přehled'!$P85</f>
        <v>koberec</v>
      </c>
      <c r="D84" s="10">
        <f>'Tabulka-přehled'!$O85</f>
        <v>15.6</v>
      </c>
      <c r="E84" s="94" t="str">
        <f>'Tabulka-přehled'!$D85</f>
        <v>A</v>
      </c>
      <c r="F84" s="51"/>
      <c r="G84" s="27"/>
      <c r="H84" s="27"/>
      <c r="I84" s="27"/>
    </row>
    <row r="85" spans="1:9" ht="15">
      <c r="A85" s="8">
        <f>'Tabulka-přehled'!$A86</f>
        <v>3260</v>
      </c>
      <c r="B85" s="53" t="str">
        <f>'Tabulka-přehled'!$B86</f>
        <v>kancelář</v>
      </c>
      <c r="C85" s="53" t="str">
        <f>'Tabulka-přehled'!$P86</f>
        <v>koberec</v>
      </c>
      <c r="D85" s="10">
        <f>'Tabulka-přehled'!$O86</f>
        <v>12.722</v>
      </c>
      <c r="E85" s="94" t="str">
        <f>'Tabulka-přehled'!$D86</f>
        <v>A</v>
      </c>
      <c r="F85" s="51"/>
      <c r="G85" s="27"/>
      <c r="H85" s="27"/>
      <c r="I85" s="27"/>
    </row>
    <row r="86" spans="1:9" ht="15">
      <c r="A86" s="8">
        <f>'Tabulka-přehled'!$A87</f>
        <v>3270</v>
      </c>
      <c r="B86" s="53" t="str">
        <f>'Tabulka-přehled'!$B87</f>
        <v>kancelář</v>
      </c>
      <c r="C86" s="53" t="str">
        <f>'Tabulka-přehled'!$P87</f>
        <v>koberec</v>
      </c>
      <c r="D86" s="10">
        <f>'Tabulka-přehled'!$O87</f>
        <v>3.4743999999999997</v>
      </c>
      <c r="E86" s="94" t="str">
        <f>'Tabulka-přehled'!$D87</f>
        <v>A</v>
      </c>
      <c r="F86" s="51"/>
      <c r="G86" s="27"/>
      <c r="H86" s="27"/>
      <c r="I86" s="27"/>
    </row>
    <row r="87" spans="1:9" ht="15">
      <c r="A87" s="8">
        <f>'Tabulka-přehled'!$A88</f>
        <v>3280</v>
      </c>
      <c r="B87" s="53" t="str">
        <f>'Tabulka-přehled'!$B88</f>
        <v>kancelář</v>
      </c>
      <c r="C87" s="53" t="str">
        <f>'Tabulka-přehled'!$P88</f>
        <v>koberec</v>
      </c>
      <c r="D87" s="10">
        <f>'Tabulka-přehled'!$O88</f>
        <v>13.6116</v>
      </c>
      <c r="E87" s="94" t="str">
        <f>'Tabulka-přehled'!$D88</f>
        <v>A</v>
      </c>
      <c r="F87" s="51"/>
      <c r="G87" s="27"/>
      <c r="H87" s="27"/>
      <c r="I87" s="27"/>
    </row>
    <row r="88" spans="1:9" ht="15">
      <c r="A88" s="8">
        <f>'Tabulka-přehled'!$A89</f>
        <v>3290</v>
      </c>
      <c r="B88" s="53" t="str">
        <f>'Tabulka-přehled'!$B89</f>
        <v>WC</v>
      </c>
      <c r="C88" s="53" t="str">
        <f>'Tabulka-přehled'!$P89</f>
        <v>dlažba</v>
      </c>
      <c r="D88" s="10">
        <f>'Tabulka-přehled'!$O89</f>
        <v>13.2</v>
      </c>
      <c r="E88" s="94" t="str">
        <f>'Tabulka-přehled'!$D89</f>
        <v>A</v>
      </c>
      <c r="F88" s="51"/>
      <c r="G88" s="27"/>
      <c r="H88" s="27"/>
      <c r="I88" s="27"/>
    </row>
    <row r="89" spans="1:9" ht="15">
      <c r="A89" s="8">
        <f>'Tabulka-přehled'!$A90</f>
        <v>3300</v>
      </c>
      <c r="B89" s="53" t="str">
        <f>'Tabulka-přehled'!$B90</f>
        <v>kancelář</v>
      </c>
      <c r="C89" s="53" t="str">
        <f>'Tabulka-přehled'!$P90</f>
        <v>koberec</v>
      </c>
      <c r="D89" s="10">
        <f>'Tabulka-přehled'!$O90</f>
        <v>28</v>
      </c>
      <c r="E89" s="94" t="str">
        <f>'Tabulka-přehled'!$D90</f>
        <v>A</v>
      </c>
      <c r="F89" s="51"/>
      <c r="G89" s="27"/>
      <c r="H89" s="27"/>
      <c r="I89" s="27"/>
    </row>
    <row r="90" spans="1:9" ht="15">
      <c r="A90" s="8">
        <f>'Tabulka-přehled'!$A91</f>
        <v>3310</v>
      </c>
      <c r="B90" s="53" t="str">
        <f>'Tabulka-přehled'!$B91</f>
        <v>kancelář</v>
      </c>
      <c r="C90" s="53" t="str">
        <f>'Tabulka-přehled'!$P91</f>
        <v>koberec</v>
      </c>
      <c r="D90" s="10">
        <f>'Tabulka-přehled'!$O91</f>
        <v>18.14</v>
      </c>
      <c r="E90" s="94" t="str">
        <f>'Tabulka-přehled'!$D91</f>
        <v>A</v>
      </c>
      <c r="F90" s="51"/>
      <c r="G90" s="27"/>
      <c r="H90" s="27"/>
      <c r="I90" s="27"/>
    </row>
    <row r="91" spans="1:9" ht="15">
      <c r="A91" s="8">
        <f>'Tabulka-přehled'!$A92</f>
        <v>3320</v>
      </c>
      <c r="B91" s="53" t="str">
        <f>'Tabulka-přehled'!$B92</f>
        <v>kancelář</v>
      </c>
      <c r="C91" s="53" t="str">
        <f>'Tabulka-přehled'!$P92</f>
        <v>koberec</v>
      </c>
      <c r="D91" s="10">
        <f>'Tabulka-přehled'!$O92</f>
        <v>13.9</v>
      </c>
      <c r="E91" s="94" t="str">
        <f>'Tabulka-přehled'!$D92</f>
        <v>A</v>
      </c>
      <c r="F91" s="51"/>
      <c r="G91" s="27"/>
      <c r="H91" s="27"/>
      <c r="I91" s="27"/>
    </row>
    <row r="92" spans="1:9" ht="15">
      <c r="A92" s="8">
        <f>'Tabulka-přehled'!$A93</f>
        <v>3330</v>
      </c>
      <c r="B92" s="53" t="str">
        <f>'Tabulka-přehled'!$B93</f>
        <v>kancelář</v>
      </c>
      <c r="C92" s="53" t="str">
        <f>'Tabulka-přehled'!$P93</f>
        <v>koberec</v>
      </c>
      <c r="D92" s="10">
        <f>'Tabulka-přehled'!$O93</f>
        <v>15.1</v>
      </c>
      <c r="E92" s="94" t="str">
        <f>'Tabulka-přehled'!$D93</f>
        <v>A</v>
      </c>
      <c r="F92" s="51"/>
      <c r="G92" s="27"/>
      <c r="H92" s="27"/>
      <c r="I92" s="27"/>
    </row>
    <row r="93" spans="1:9" ht="15">
      <c r="A93" s="8">
        <f>'Tabulka-přehled'!$A94</f>
        <v>3340</v>
      </c>
      <c r="B93" s="53" t="str">
        <f>'Tabulka-přehled'!$B94</f>
        <v>kumbál</v>
      </c>
      <c r="C93" s="53" t="str">
        <f>'Tabulka-přehled'!$P94</f>
        <v>linoleum</v>
      </c>
      <c r="D93" s="10">
        <f>'Tabulka-přehled'!$O94</f>
        <v>6.6000000000000005</v>
      </c>
      <c r="E93" s="94" t="str">
        <f>'Tabulka-přehled'!$D94</f>
        <v>E</v>
      </c>
      <c r="F93" s="51"/>
      <c r="G93" s="27"/>
      <c r="H93" s="27"/>
      <c r="I93" s="27"/>
    </row>
    <row r="94" spans="1:9" ht="15">
      <c r="A94" s="8">
        <f>'Tabulka-přehled'!$A95</f>
        <v>3350</v>
      </c>
      <c r="B94" s="53" t="str">
        <f>'Tabulka-přehled'!$B95</f>
        <v>WC</v>
      </c>
      <c r="C94" s="53" t="str">
        <f>'Tabulka-přehled'!$P95</f>
        <v>dlažba</v>
      </c>
      <c r="D94" s="10">
        <f>'Tabulka-přehled'!$O95</f>
        <v>14.399999999999999</v>
      </c>
      <c r="E94" s="94" t="str">
        <f>'Tabulka-přehled'!$D95</f>
        <v>A</v>
      </c>
      <c r="F94" s="51"/>
      <c r="G94" s="27"/>
      <c r="H94" s="27"/>
      <c r="I94" s="27"/>
    </row>
    <row r="95" spans="1:9" ht="15">
      <c r="A95" s="8">
        <f>'Tabulka-přehled'!$A96</f>
        <v>3360</v>
      </c>
      <c r="B95" s="53" t="str">
        <f>'Tabulka-přehled'!$B96</f>
        <v>kancelář</v>
      </c>
      <c r="C95" s="53" t="str">
        <f>'Tabulka-přehled'!$P96</f>
        <v>koberec</v>
      </c>
      <c r="D95" s="10">
        <f>'Tabulka-přehled'!$O96</f>
        <v>42.9</v>
      </c>
      <c r="E95" s="94" t="str">
        <f>'Tabulka-přehled'!$D96</f>
        <v>A</v>
      </c>
      <c r="F95" s="51"/>
      <c r="G95" s="27"/>
      <c r="H95" s="27"/>
      <c r="I95" s="27"/>
    </row>
    <row r="96" spans="1:9" ht="15">
      <c r="A96" s="8">
        <f>'Tabulka-přehled'!$A97</f>
        <v>3370</v>
      </c>
      <c r="B96" s="53" t="str">
        <f>'Tabulka-přehled'!$B97</f>
        <v>kancelář</v>
      </c>
      <c r="C96" s="53" t="str">
        <f>'Tabulka-přehled'!$P97</f>
        <v>koberec</v>
      </c>
      <c r="D96" s="10">
        <f>'Tabulka-přehled'!$O97</f>
        <v>13.24</v>
      </c>
      <c r="E96" s="94" t="str">
        <f>'Tabulka-přehled'!$D97</f>
        <v>B</v>
      </c>
      <c r="F96" s="51"/>
      <c r="G96" s="27"/>
      <c r="H96" s="27"/>
      <c r="I96" s="27"/>
    </row>
    <row r="97" spans="1:9" ht="15">
      <c r="A97" s="8">
        <f>'Tabulka-přehled'!$A98</f>
        <v>3380</v>
      </c>
      <c r="B97" s="53" t="str">
        <f>'Tabulka-přehled'!$B98</f>
        <v>kancelář</v>
      </c>
      <c r="C97" s="53" t="str">
        <f>'Tabulka-přehled'!$P98</f>
        <v>koberec</v>
      </c>
      <c r="D97" s="10">
        <f>'Tabulka-přehled'!$O98</f>
        <v>17.57</v>
      </c>
      <c r="E97" s="94" t="str">
        <f>'Tabulka-přehled'!$D98</f>
        <v>B</v>
      </c>
      <c r="F97" s="51"/>
      <c r="G97" s="27"/>
      <c r="H97" s="27"/>
      <c r="I97" s="27"/>
    </row>
    <row r="98" spans="1:9" ht="15">
      <c r="A98" s="8">
        <f>'Tabulka-přehled'!$A99</f>
        <v>3390</v>
      </c>
      <c r="B98" s="53" t="str">
        <f>'Tabulka-přehled'!$B99</f>
        <v>kancelář</v>
      </c>
      <c r="C98" s="53" t="str">
        <f>'Tabulka-přehled'!$P99</f>
        <v>koberec</v>
      </c>
      <c r="D98" s="10">
        <f>'Tabulka-přehled'!$O99</f>
        <v>25.8</v>
      </c>
      <c r="E98" s="94" t="str">
        <f>'Tabulka-přehled'!$D99</f>
        <v>B</v>
      </c>
      <c r="F98" s="51"/>
      <c r="G98" s="27"/>
      <c r="H98" s="27"/>
      <c r="I98" s="27"/>
    </row>
    <row r="99" spans="1:9" ht="15">
      <c r="A99" s="8">
        <f>'Tabulka-přehled'!$A100</f>
        <v>3501</v>
      </c>
      <c r="B99" s="53" t="str">
        <f>'Tabulka-přehled'!$B100</f>
        <v>chodba</v>
      </c>
      <c r="C99" s="53" t="str">
        <f>'Tabulka-přehled'!$P100</f>
        <v>linoleum</v>
      </c>
      <c r="D99" s="10">
        <f>'Tabulka-přehled'!$O100</f>
        <v>40.635</v>
      </c>
      <c r="E99" s="94" t="str">
        <f>'Tabulka-přehled'!$D100</f>
        <v>A</v>
      </c>
      <c r="F99" s="51"/>
      <c r="G99" s="27"/>
      <c r="H99" s="27"/>
      <c r="I99" s="27"/>
    </row>
    <row r="100" spans="1:9" ht="15">
      <c r="A100" s="8">
        <f>'Tabulka-přehled'!$A101</f>
        <v>3502</v>
      </c>
      <c r="B100" s="53" t="str">
        <f>'Tabulka-přehled'!$B101</f>
        <v>chodba</v>
      </c>
      <c r="C100" s="53" t="str">
        <f>'Tabulka-přehled'!$P101</f>
        <v>linoleum</v>
      </c>
      <c r="D100" s="10">
        <f>'Tabulka-přehled'!$O101</f>
        <v>8.11</v>
      </c>
      <c r="E100" s="94" t="str">
        <f>'Tabulka-přehled'!$D101</f>
        <v>A</v>
      </c>
      <c r="F100" s="51"/>
      <c r="G100" s="27"/>
      <c r="H100" s="27"/>
      <c r="I100" s="27"/>
    </row>
    <row r="101" spans="1:9" ht="15">
      <c r="A101" s="8">
        <f>'Tabulka-přehled'!$A102</f>
        <v>3503</v>
      </c>
      <c r="B101" s="53" t="str">
        <f>'Tabulka-přehled'!$B102</f>
        <v>chodba</v>
      </c>
      <c r="C101" s="53" t="str">
        <f>'Tabulka-přehled'!$P102</f>
        <v>dlažba</v>
      </c>
      <c r="D101" s="10">
        <f>'Tabulka-přehled'!$O102</f>
        <v>29.455</v>
      </c>
      <c r="E101" s="94" t="str">
        <f>'Tabulka-přehled'!$D102</f>
        <v>A</v>
      </c>
      <c r="F101" s="51"/>
      <c r="G101" s="27"/>
      <c r="H101" s="27"/>
      <c r="I101" s="27"/>
    </row>
    <row r="102" spans="1:9" ht="15">
      <c r="A102" s="8">
        <f>'Tabulka-přehled'!$A103</f>
        <v>3504</v>
      </c>
      <c r="B102" s="53" t="str">
        <f>'Tabulka-přehled'!$B103</f>
        <v>chodba</v>
      </c>
      <c r="C102" s="53" t="str">
        <f>'Tabulka-přehled'!$P103</f>
        <v>dlažba</v>
      </c>
      <c r="D102" s="10">
        <f>'Tabulka-přehled'!$O103</f>
        <v>50.925</v>
      </c>
      <c r="E102" s="94" t="str">
        <f>'Tabulka-přehled'!$D103</f>
        <v>A</v>
      </c>
      <c r="F102" s="51"/>
      <c r="G102" s="27"/>
      <c r="H102" s="27"/>
      <c r="I102" s="27"/>
    </row>
    <row r="103" spans="1:9" ht="15">
      <c r="A103" s="8">
        <f>'Tabulka-přehled'!$A104</f>
        <v>3505</v>
      </c>
      <c r="B103" s="53" t="str">
        <f>'Tabulka-přehled'!$B104</f>
        <v>chodba</v>
      </c>
      <c r="C103" s="53" t="str">
        <f>'Tabulka-přehled'!$P104</f>
        <v>dlažba</v>
      </c>
      <c r="D103" s="10">
        <f>'Tabulka-přehled'!$O104</f>
        <v>72.64849999999998</v>
      </c>
      <c r="E103" s="94" t="str">
        <f>'Tabulka-přehled'!$D104</f>
        <v>A</v>
      </c>
      <c r="F103" s="51"/>
      <c r="G103" s="27"/>
      <c r="H103" s="27"/>
      <c r="I103" s="27"/>
    </row>
    <row r="104" spans="1:9" ht="15">
      <c r="A104" s="8">
        <f>'Tabulka-přehled'!$A105</f>
        <v>3506</v>
      </c>
      <c r="B104" s="53" t="str">
        <f>'Tabulka-přehled'!$B105</f>
        <v>chodba</v>
      </c>
      <c r="C104" s="53" t="str">
        <f>'Tabulka-přehled'!$P105</f>
        <v>dlažba</v>
      </c>
      <c r="D104" s="10">
        <f>'Tabulka-přehled'!$O105</f>
        <v>19.3</v>
      </c>
      <c r="E104" s="94" t="str">
        <f>'Tabulka-přehled'!$D105</f>
        <v>A</v>
      </c>
      <c r="F104" s="51"/>
      <c r="G104" s="27"/>
      <c r="H104" s="27"/>
      <c r="I104" s="27"/>
    </row>
    <row r="105" spans="1:9" ht="15">
      <c r="A105" s="8">
        <f>'Tabulka-přehled'!$A106</f>
        <v>3507</v>
      </c>
      <c r="B105" s="53" t="str">
        <f>'Tabulka-přehled'!$B106</f>
        <v>chodba</v>
      </c>
      <c r="C105" s="53" t="str">
        <f>'Tabulka-přehled'!$P106</f>
        <v>linoleum</v>
      </c>
      <c r="D105" s="10">
        <f>'Tabulka-přehled'!$O106</f>
        <v>11.639999999999999</v>
      </c>
      <c r="E105" s="94" t="str">
        <f>'Tabulka-přehled'!$D106</f>
        <v>A</v>
      </c>
      <c r="F105" s="51"/>
      <c r="G105" s="27"/>
      <c r="H105" s="27"/>
      <c r="I105" s="27"/>
    </row>
    <row r="106" spans="1:9" ht="15">
      <c r="A106" s="8">
        <f>'Tabulka-přehled'!$A107</f>
        <v>3508</v>
      </c>
      <c r="B106" s="53" t="str">
        <f>'Tabulka-přehled'!$B107</f>
        <v>chodba</v>
      </c>
      <c r="C106" s="53" t="str">
        <f>'Tabulka-přehled'!$P107</f>
        <v>dlažba</v>
      </c>
      <c r="D106" s="10">
        <f>'Tabulka-přehled'!$O107</f>
        <v>13.772500000000003</v>
      </c>
      <c r="E106" s="94" t="str">
        <f>'Tabulka-přehled'!$D107</f>
        <v>A</v>
      </c>
      <c r="F106" s="51"/>
      <c r="G106" s="27"/>
      <c r="H106" s="27"/>
      <c r="I106" s="27"/>
    </row>
    <row r="107" spans="1:9" ht="15">
      <c r="A107" s="8">
        <f>'Tabulka-přehled'!$A108</f>
        <v>3601</v>
      </c>
      <c r="B107" s="53" t="str">
        <f>'Tabulka-přehled'!$B108</f>
        <v>schodiště </v>
      </c>
      <c r="C107" s="53" t="str">
        <f>'Tabulka-přehled'!$P108</f>
        <v>dlažba</v>
      </c>
      <c r="D107" s="10">
        <f>'Tabulka-přehled'!$O108</f>
        <v>18</v>
      </c>
      <c r="E107" s="94" t="str">
        <f>'Tabulka-přehled'!$D108</f>
        <v>A</v>
      </c>
      <c r="F107" s="51"/>
      <c r="G107" s="27"/>
      <c r="H107" s="27"/>
      <c r="I107" s="27"/>
    </row>
    <row r="108" spans="1:9" ht="15">
      <c r="A108" s="8">
        <f>'Tabulka-přehled'!$A109</f>
        <v>3602</v>
      </c>
      <c r="B108" s="53" t="str">
        <f>'Tabulka-přehled'!$B109</f>
        <v>schodiště </v>
      </c>
      <c r="C108" s="53" t="str">
        <f>'Tabulka-přehled'!$P109</f>
        <v>dlažba</v>
      </c>
      <c r="D108" s="10">
        <f>'Tabulka-přehled'!$O109</f>
        <v>22.740000000000002</v>
      </c>
      <c r="E108" s="94" t="str">
        <f>'Tabulka-přehled'!$D109</f>
        <v>A</v>
      </c>
      <c r="F108" s="51"/>
      <c r="G108" s="27"/>
      <c r="H108" s="27"/>
      <c r="I108" s="27"/>
    </row>
    <row r="109" spans="1:9" ht="15.75" thickBot="1">
      <c r="A109" s="85">
        <f>'Tabulka-přehled'!$A110</f>
        <v>3603</v>
      </c>
      <c r="B109" s="86" t="str">
        <f>'Tabulka-přehled'!$B110</f>
        <v>schodiště </v>
      </c>
      <c r="C109" s="86" t="str">
        <f>'Tabulka-přehled'!$P110</f>
        <v>dlažba</v>
      </c>
      <c r="D109" s="87">
        <f>'Tabulka-přehled'!$O110</f>
        <v>14.2</v>
      </c>
      <c r="E109" s="95" t="str">
        <f>'Tabulka-přehled'!$D110</f>
        <v>A</v>
      </c>
      <c r="F109" s="88"/>
      <c r="G109" s="90"/>
      <c r="H109" s="90"/>
      <c r="I109" s="90"/>
    </row>
    <row r="110" spans="1:9" ht="15.75" thickTop="1">
      <c r="A110" s="82">
        <f>'Tabulka-přehled'!$A111</f>
        <v>4280</v>
      </c>
      <c r="B110" s="83" t="str">
        <f>'Tabulka-přehled'!$B111</f>
        <v>kancelář</v>
      </c>
      <c r="C110" s="83" t="str">
        <f>'Tabulka-přehled'!$P111</f>
        <v>koberec</v>
      </c>
      <c r="D110" s="84">
        <f>'Tabulka-přehled'!$O111</f>
        <v>19.1</v>
      </c>
      <c r="E110" s="96" t="str">
        <f>'Tabulka-přehled'!$D111</f>
        <v>B</v>
      </c>
      <c r="F110" s="51"/>
      <c r="G110" s="89"/>
      <c r="H110" s="89"/>
      <c r="I110" s="89"/>
    </row>
    <row r="111" spans="1:9" ht="15">
      <c r="A111" s="8">
        <f>'Tabulka-přehled'!$A112</f>
        <v>4290</v>
      </c>
      <c r="B111" s="53" t="str">
        <f>'Tabulka-přehled'!$B112</f>
        <v>kancelář</v>
      </c>
      <c r="C111" s="53" t="str">
        <f>'Tabulka-přehled'!$P112</f>
        <v>koberec</v>
      </c>
      <c r="D111" s="10">
        <f>'Tabulka-přehled'!$O112</f>
        <v>10.9</v>
      </c>
      <c r="E111" s="94" t="str">
        <f>'Tabulka-přehled'!$D112</f>
        <v>B</v>
      </c>
      <c r="F111" s="51"/>
      <c r="G111" s="27"/>
      <c r="H111" s="27"/>
      <c r="I111" s="27"/>
    </row>
    <row r="112" spans="1:9" ht="15">
      <c r="A112" s="8">
        <f>'Tabulka-přehled'!$A113</f>
        <v>4503</v>
      </c>
      <c r="B112" s="53" t="str">
        <f>'Tabulka-přehled'!$B113</f>
        <v>chodba</v>
      </c>
      <c r="C112" s="53" t="str">
        <f>'Tabulka-přehled'!$P113</f>
        <v>dlažba</v>
      </c>
      <c r="D112" s="10">
        <f>'Tabulka-přehled'!$O113</f>
        <v>29.7</v>
      </c>
      <c r="E112" s="94" t="str">
        <f>'Tabulka-přehled'!$D113</f>
        <v>A</v>
      </c>
      <c r="F112" s="51"/>
      <c r="G112" s="27"/>
      <c r="H112" s="27"/>
      <c r="I112" s="27"/>
    </row>
    <row r="113" spans="1:9" ht="15.75" thickBot="1">
      <c r="A113" s="85">
        <f>'Tabulka-přehled'!$A114</f>
        <v>4505</v>
      </c>
      <c r="B113" s="86" t="str">
        <f>'Tabulka-přehled'!$B114</f>
        <v>chodba</v>
      </c>
      <c r="C113" s="86" t="str">
        <f>'Tabulka-přehled'!$P114</f>
        <v>dlažba</v>
      </c>
      <c r="D113" s="87">
        <f>'Tabulka-přehled'!$O114</f>
        <v>6.3</v>
      </c>
      <c r="E113" s="95" t="str">
        <f>'Tabulka-přehled'!$D114</f>
        <v>A</v>
      </c>
      <c r="F113" s="88"/>
      <c r="G113" s="90"/>
      <c r="H113" s="90"/>
      <c r="I113" s="90"/>
    </row>
    <row r="114" spans="1:9" ht="15.75" thickTop="1">
      <c r="A114" s="82">
        <f>'Tabulka-přehled'!$A115</f>
        <v>5160</v>
      </c>
      <c r="B114" s="83" t="str">
        <f>'Tabulka-přehled'!$B115</f>
        <v>ARCHIV</v>
      </c>
      <c r="C114" s="83" t="str">
        <f>'Tabulka-přehled'!$P115</f>
        <v>linoleum</v>
      </c>
      <c r="D114" s="84">
        <f>'Tabulka-přehled'!$O115</f>
        <v>40.64500000000001</v>
      </c>
      <c r="E114" s="96" t="str">
        <f>'Tabulka-přehled'!$D115</f>
        <v>E</v>
      </c>
      <c r="F114" s="51"/>
      <c r="G114" s="89"/>
      <c r="H114" s="89"/>
      <c r="I114" s="89"/>
    </row>
    <row r="115" spans="1:9" ht="15">
      <c r="A115" s="8">
        <f>'Tabulka-přehled'!$A116</f>
        <v>5502</v>
      </c>
      <c r="B115" s="53" t="str">
        <f>'Tabulka-přehled'!$B116</f>
        <v>chodba</v>
      </c>
      <c r="C115" s="53" t="str">
        <f>'Tabulka-přehled'!$P116</f>
        <v>beton</v>
      </c>
      <c r="D115" s="10">
        <f>'Tabulka-přehled'!$O116</f>
        <v>50.4</v>
      </c>
      <c r="E115" s="94" t="str">
        <f>'Tabulka-přehled'!$D116</f>
        <v>E</v>
      </c>
      <c r="F115" s="52"/>
      <c r="G115" s="27"/>
      <c r="H115" s="27"/>
      <c r="I115" s="27"/>
    </row>
    <row r="116" spans="1:9" ht="15.75" thickBot="1">
      <c r="A116" s="85">
        <f>'Tabulka-přehled'!$A117</f>
        <v>5503</v>
      </c>
      <c r="B116" s="86" t="str">
        <f>'Tabulka-přehled'!$B117</f>
        <v>chodba</v>
      </c>
      <c r="C116" s="86" t="str">
        <f>'Tabulka-přehled'!$P117</f>
        <v>beton</v>
      </c>
      <c r="D116" s="87">
        <f>'Tabulka-přehled'!$O117</f>
        <v>16.4</v>
      </c>
      <c r="E116" s="95" t="str">
        <f>'Tabulka-přehled'!$D117</f>
        <v>E</v>
      </c>
      <c r="F116" s="88"/>
      <c r="G116" s="90"/>
      <c r="H116" s="90"/>
      <c r="I116" s="90"/>
    </row>
    <row r="117" spans="1:9" ht="15.75" thickTop="1">
      <c r="A117" s="91" t="s">
        <v>19</v>
      </c>
      <c r="B117" s="92">
        <f>SUBTOTAL(103,B2:B116)</f>
        <v>115</v>
      </c>
      <c r="C117" s="92"/>
      <c r="D117" s="93">
        <f>SUBTOTAL(109,D2:D116)</f>
        <v>2343.3883</v>
      </c>
      <c r="E117" s="91"/>
      <c r="F117" s="93"/>
      <c r="G117" s="93"/>
      <c r="H117" s="93"/>
      <c r="I117" s="93"/>
    </row>
  </sheetData>
  <sheetProtection/>
  <conditionalFormatting sqref="A118:A65536 A1">
    <cfRule type="duplicateValues" priority="3" dxfId="13">
      <formula>AND(COUNTIF($A$118:$A$65536,A1)+COUNTIF($A$1:$A$1,A1)&gt;1,NOT(ISBLANK(A1)))</formula>
    </cfRule>
  </conditionalFormatting>
  <conditionalFormatting sqref="A2:A116">
    <cfRule type="duplicateValues" priority="5" dxfId="13">
      <formula>AND(COUNTIF($A$2:$A$116,A2)&gt;1,NOT(ISBLANK(A2)))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headerFooter>
    <oddHeader>&amp;LPříloha č. 1_kalkulace pravidelný úklid</oddHeader>
    <oddFooter>&amp;C„Zajištění komplexních úklidových služeb v objektu Finančního úřadu pro Královéhradecký kraj – Územní pracoviště v Jičíně“.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3.00390625" style="0" customWidth="1"/>
    <col min="2" max="2" width="53.57421875" style="0" customWidth="1"/>
    <col min="3" max="6" width="5.421875" style="0" customWidth="1"/>
    <col min="7" max="7" width="7.7109375" style="2" customWidth="1"/>
    <col min="8" max="8" width="8.00390625" style="2" bestFit="1" customWidth="1"/>
    <col min="9" max="9" width="8.00390625" style="2" customWidth="1"/>
    <col min="10" max="10" width="8.7109375" style="2" customWidth="1"/>
    <col min="11" max="11" width="10.421875" style="0" customWidth="1"/>
  </cols>
  <sheetData>
    <row r="1" spans="2:9" ht="15">
      <c r="B1" s="16" t="s">
        <v>30</v>
      </c>
      <c r="C1" s="16" t="s">
        <v>34</v>
      </c>
      <c r="D1" s="17"/>
      <c r="E1" s="17"/>
      <c r="F1" s="17"/>
      <c r="G1" s="18"/>
      <c r="H1" s="18"/>
      <c r="I1" s="18"/>
    </row>
    <row r="2" spans="2:9" ht="15">
      <c r="B2" s="29"/>
      <c r="C2" s="17"/>
      <c r="D2" s="17"/>
      <c r="E2" s="17"/>
      <c r="F2" s="17"/>
      <c r="G2" s="18"/>
      <c r="H2" s="18"/>
      <c r="I2" s="18"/>
    </row>
    <row r="3" spans="2:10" ht="15">
      <c r="B3" s="16"/>
      <c r="C3" s="16" t="s">
        <v>0</v>
      </c>
      <c r="D3" s="16"/>
      <c r="E3" s="16"/>
      <c r="F3" s="16"/>
      <c r="G3"/>
      <c r="H3" s="30"/>
      <c r="I3" s="30"/>
      <c r="J3" s="3"/>
    </row>
    <row r="4" spans="2:11" ht="60">
      <c r="B4" s="16" t="s">
        <v>5</v>
      </c>
      <c r="C4" s="16" t="s">
        <v>1</v>
      </c>
      <c r="D4" s="16" t="s">
        <v>2</v>
      </c>
      <c r="E4" s="16" t="s">
        <v>3</v>
      </c>
      <c r="F4" s="19" t="s">
        <v>4</v>
      </c>
      <c r="G4"/>
      <c r="H4" s="20" t="s">
        <v>36</v>
      </c>
      <c r="I4" s="20" t="s">
        <v>250</v>
      </c>
      <c r="J4" s="4" t="s">
        <v>254</v>
      </c>
      <c r="K4" s="4" t="s">
        <v>255</v>
      </c>
    </row>
    <row r="5" spans="2:11" ht="30">
      <c r="B5" s="31" t="s">
        <v>13</v>
      </c>
      <c r="C5" s="22">
        <v>6</v>
      </c>
      <c r="D5" s="22">
        <v>3</v>
      </c>
      <c r="E5" s="22"/>
      <c r="F5" s="23">
        <v>9</v>
      </c>
      <c r="G5"/>
      <c r="H5" s="32">
        <f>GETPIVOTDATA("Součet z A -okno - 6dílné dřev. dvojsklo, otevíratelné, parapet dř., 2vrst.  156x195",$B$3)*1.56*1.95*2</f>
        <v>54.756</v>
      </c>
      <c r="I5" s="35"/>
      <c r="J5" s="35"/>
      <c r="K5" s="27"/>
    </row>
    <row r="6" spans="2:11" ht="30">
      <c r="B6" s="31" t="s">
        <v>14</v>
      </c>
      <c r="C6" s="22">
        <v>88</v>
      </c>
      <c r="D6" s="22">
        <v>2</v>
      </c>
      <c r="E6" s="22"/>
      <c r="F6" s="23">
        <v>90</v>
      </c>
      <c r="G6"/>
      <c r="H6" s="32">
        <f>GETPIVOTDATA("Součet z B - okno - 6dílné dřev. dvojsklo, otevíratelné, parapet lamino., 2vrst.  156x195",$B$3)*1.56*1.95*2</f>
        <v>547.5600000000001</v>
      </c>
      <c r="I6" s="35"/>
      <c r="J6" s="35"/>
      <c r="K6" s="27"/>
    </row>
    <row r="7" spans="2:11" ht="30">
      <c r="B7" s="31" t="s">
        <v>15</v>
      </c>
      <c r="C7" s="22">
        <v>21</v>
      </c>
      <c r="D7" s="22"/>
      <c r="E7" s="22"/>
      <c r="F7" s="23">
        <v>21</v>
      </c>
      <c r="G7"/>
      <c r="H7" s="32">
        <f>GETPIVOTDATA("Součet z C - okna - 6dílné dřev. dvojsklo, otevíratelné, parapet dřev.,  velké 140x110",$B$3)*1.4*1.1*2</f>
        <v>64.68</v>
      </c>
      <c r="I7" s="35"/>
      <c r="J7" s="35"/>
      <c r="K7" s="27"/>
    </row>
    <row r="8" spans="2:11" ht="30">
      <c r="B8" s="31" t="s">
        <v>16</v>
      </c>
      <c r="C8" s="22">
        <v>6</v>
      </c>
      <c r="D8" s="22"/>
      <c r="E8" s="22"/>
      <c r="F8" s="23">
        <v>6</v>
      </c>
      <c r="G8"/>
      <c r="H8" s="32">
        <f>GETPIVOTDATA("Součet z D - okna  - 6dílné dřev. dvojsklo, otevíratelné, parapet dřev.,  malé 115x59",$B$3)*1.15*0.59*2</f>
        <v>8.142</v>
      </c>
      <c r="I8" s="35"/>
      <c r="J8" s="35"/>
      <c r="K8" s="27"/>
    </row>
    <row r="9" spans="2:11" ht="15">
      <c r="B9" s="31" t="s">
        <v>17</v>
      </c>
      <c r="C9" s="22">
        <v>8</v>
      </c>
      <c r="D9" s="22"/>
      <c r="E9" s="22"/>
      <c r="F9" s="23">
        <v>8</v>
      </c>
      <c r="G9"/>
      <c r="H9" s="32">
        <f>GETPIVOTDATA("Součet z E - okno 4 dílné, rám dř., parapet lamino 130x150",$B$3)*1.3*1.5*2</f>
        <v>31.200000000000003</v>
      </c>
      <c r="I9" s="35"/>
      <c r="J9" s="35"/>
      <c r="K9" s="27"/>
    </row>
    <row r="10" spans="2:11" ht="30">
      <c r="B10" s="31" t="s">
        <v>33</v>
      </c>
      <c r="C10" s="22">
        <v>94.3</v>
      </c>
      <c r="D10" s="22"/>
      <c r="E10" s="22"/>
      <c r="F10" s="23">
        <v>94.3</v>
      </c>
      <c r="G10"/>
      <c r="H10" s="32">
        <f>GETPIVOTDATA("Součet z F - okna  - jinde nezařazená uváděno v m2 100x100",$B$3)*2</f>
        <v>188.6</v>
      </c>
      <c r="I10" s="35"/>
      <c r="J10" s="35"/>
      <c r="K10" s="27"/>
    </row>
    <row r="11" spans="2:11" ht="15">
      <c r="B11" s="31" t="s">
        <v>18</v>
      </c>
      <c r="C11" s="22">
        <v>10</v>
      </c>
      <c r="D11" s="22"/>
      <c r="E11" s="22"/>
      <c r="F11" s="23">
        <v>10</v>
      </c>
      <c r="G11"/>
      <c r="H11" s="32">
        <f>GETPIVOTDATA("Součet z G - okno 4 dílné, rám dř., parapet lamino 160x140",$B$3)*1.6*1.4*2</f>
        <v>44.8</v>
      </c>
      <c r="I11" s="35"/>
      <c r="J11" s="35"/>
      <c r="K11" s="27"/>
    </row>
    <row r="12" spans="2:11" ht="30">
      <c r="B12" s="31" t="s">
        <v>6</v>
      </c>
      <c r="C12" s="22">
        <v>2</v>
      </c>
      <c r="D12" s="22"/>
      <c r="E12" s="22"/>
      <c r="F12" s="23">
        <v>2</v>
      </c>
      <c r="G12"/>
      <c r="H12" s="32">
        <f>GETPIVOTDATA("Součet z H - okno malé (2tab.), rám dř., parapet lamino 160x60",$B$3)*1.6*0.6*2</f>
        <v>3.84</v>
      </c>
      <c r="I12" s="35"/>
      <c r="J12" s="35"/>
      <c r="K12" s="27"/>
    </row>
    <row r="13" spans="2:11" ht="15">
      <c r="B13" s="31" t="s">
        <v>7</v>
      </c>
      <c r="C13" s="22">
        <v>1</v>
      </c>
      <c r="D13" s="22"/>
      <c r="E13" s="22">
        <v>1</v>
      </c>
      <c r="F13" s="23">
        <v>2</v>
      </c>
      <c r="G13"/>
      <c r="H13" s="32">
        <f>GETPIVOTDATA("Součet z CH - okno malé, rám dř., parapet lamino 100x75",$B$3)*1*0.75*2</f>
        <v>3</v>
      </c>
      <c r="I13" s="35"/>
      <c r="J13" s="35"/>
      <c r="K13" s="27"/>
    </row>
    <row r="14" spans="2:11" ht="15">
      <c r="B14" s="31" t="s">
        <v>8</v>
      </c>
      <c r="C14" s="22">
        <v>4</v>
      </c>
      <c r="D14" s="22"/>
      <c r="E14" s="22"/>
      <c r="F14" s="23">
        <v>4</v>
      </c>
      <c r="G14"/>
      <c r="H14" s="32">
        <f>GETPIVOTDATA("Součet z I - okno u výtahu 150x320",$B$3)*1.5*3.2*2</f>
        <v>38.400000000000006</v>
      </c>
      <c r="I14" s="35"/>
      <c r="J14" s="35"/>
      <c r="K14" s="27"/>
    </row>
    <row r="15" spans="2:11" ht="15">
      <c r="B15" s="31" t="s">
        <v>9</v>
      </c>
      <c r="C15" s="22">
        <v>3</v>
      </c>
      <c r="D15" s="22"/>
      <c r="E15" s="22"/>
      <c r="F15" s="23">
        <v>3</v>
      </c>
      <c r="G15"/>
      <c r="H15" s="32">
        <f>GETPIVOTDATA("Součet z J - okno (6tab.) 190x140",$B$3)*1.9*1.4*2</f>
        <v>15.959999999999997</v>
      </c>
      <c r="I15" s="35"/>
      <c r="J15" s="35"/>
      <c r="K15" s="27"/>
    </row>
    <row r="16" spans="2:11" ht="15">
      <c r="B16" s="31" t="s">
        <v>10</v>
      </c>
      <c r="C16" s="22">
        <v>6</v>
      </c>
      <c r="D16" s="22"/>
      <c r="E16" s="22"/>
      <c r="F16" s="23">
        <v>6</v>
      </c>
      <c r="G16"/>
      <c r="H16" s="32">
        <f>GETPIVOTDATA("Součet z K - okno (6tab.) 270x200",$B$3)*2.7*2*2</f>
        <v>64.80000000000001</v>
      </c>
      <c r="I16" s="35"/>
      <c r="J16" s="35"/>
      <c r="K16" s="27"/>
    </row>
    <row r="17" spans="2:11" ht="15">
      <c r="B17" s="31" t="s">
        <v>11</v>
      </c>
      <c r="C17" s="22">
        <v>1</v>
      </c>
      <c r="D17" s="22"/>
      <c r="E17" s="22"/>
      <c r="F17" s="23">
        <v>1</v>
      </c>
      <c r="G17"/>
      <c r="H17" s="32">
        <f>GETPIVOTDATA("Součet z L - okno  200x210",$B$3)*2*2.1*2</f>
        <v>8.4</v>
      </c>
      <c r="I17" s="35"/>
      <c r="J17" s="35"/>
      <c r="K17" s="27"/>
    </row>
    <row r="18" spans="2:11" ht="15">
      <c r="B18" s="31" t="s">
        <v>12</v>
      </c>
      <c r="C18" s="22"/>
      <c r="D18" s="22"/>
      <c r="E18" s="22">
        <v>3</v>
      </c>
      <c r="F18" s="23">
        <v>3</v>
      </c>
      <c r="G18"/>
      <c r="H18" s="32">
        <f>GETPIVOTDATA("Součet z M - okno  90x200",$B$3)*0.9*2*2</f>
        <v>10.8</v>
      </c>
      <c r="I18" s="35"/>
      <c r="J18" s="35"/>
      <c r="K18" s="27"/>
    </row>
    <row r="19" spans="2:11" ht="15">
      <c r="B19" s="21" t="s">
        <v>257</v>
      </c>
      <c r="C19" s="22">
        <v>1</v>
      </c>
      <c r="D19" s="22"/>
      <c r="E19" s="22"/>
      <c r="F19" s="23">
        <v>1</v>
      </c>
      <c r="G19"/>
      <c r="H19" s="33">
        <f>1.8*2.1*2*GETPIVOTDATA("Součet z skleněná pokl. Přepážka 180x210",$B$3,"Kategorie","A")</f>
        <v>7.5600000000000005</v>
      </c>
      <c r="I19" s="36"/>
      <c r="J19" s="28"/>
      <c r="K19" s="28"/>
    </row>
    <row r="20" spans="2:8" ht="15">
      <c r="B20" s="75" t="s">
        <v>19</v>
      </c>
      <c r="C20">
        <f aca="true" t="shared" si="0" ref="C20:H20">SUM(C5:C19)</f>
        <v>251.3</v>
      </c>
      <c r="D20">
        <f t="shared" si="0"/>
        <v>5</v>
      </c>
      <c r="E20">
        <f t="shared" si="0"/>
        <v>4</v>
      </c>
      <c r="F20">
        <f t="shared" si="0"/>
        <v>260.3</v>
      </c>
      <c r="G20">
        <f t="shared" si="0"/>
        <v>0</v>
      </c>
      <c r="H20">
        <f t="shared" si="0"/>
        <v>1092.4980000000003</v>
      </c>
    </row>
    <row r="22" spans="2:11" ht="15">
      <c r="B22" s="17"/>
      <c r="C22" s="34" t="s">
        <v>35</v>
      </c>
      <c r="D22" s="17"/>
      <c r="E22" s="17"/>
      <c r="F22" s="17"/>
      <c r="G22" s="18"/>
      <c r="H22" s="34"/>
      <c r="I22" s="20"/>
      <c r="J22" s="4"/>
      <c r="K22" s="4"/>
    </row>
    <row r="23" spans="2:11" ht="15.75" thickBot="1">
      <c r="B23" s="12" t="s">
        <v>258</v>
      </c>
      <c r="C23" s="12">
        <f>SUM(C5:C9,C11,C12,C13)</f>
        <v>142</v>
      </c>
      <c r="D23" s="12"/>
      <c r="E23" s="12"/>
      <c r="F23" s="12"/>
      <c r="G23" s="37"/>
      <c r="H23" s="12">
        <f>2.1*0.3*C23</f>
        <v>89.46</v>
      </c>
      <c r="I23" s="38"/>
      <c r="J23" s="39"/>
      <c r="K23" s="38"/>
    </row>
    <row r="24" spans="2:11" ht="15.75" thickBot="1">
      <c r="B24" s="40" t="s">
        <v>251</v>
      </c>
      <c r="C24" s="41"/>
      <c r="D24" s="41"/>
      <c r="E24" s="41"/>
      <c r="F24" s="41"/>
      <c r="G24" s="41"/>
      <c r="H24" s="42"/>
      <c r="I24" s="43"/>
      <c r="J24" s="44"/>
      <c r="K24" s="45"/>
    </row>
    <row r="26" spans="2:4" ht="17.25">
      <c r="B26" s="74" t="s">
        <v>355</v>
      </c>
      <c r="C26" s="74">
        <f>GETPIVOTDATA("Součet z F - okna  - jinde nezařazená uváděno v m2 100x100",$B$3,"Kategorie","A")</f>
        <v>94.3</v>
      </c>
      <c r="D26" s="74" t="s">
        <v>356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  <headerFooter>
    <oddHeader>&amp;CPříloha č. 1_kalkulace čištění oken včetně parapetů</oddHeader>
    <oddFooter>&amp;C„Zajištění komplexních úklidových služeb v objektu Finančního úřadu pro Královéhradecký kraj – Územní pracoviště v Jičíně“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4" sqref="N34"/>
    </sheetView>
  </sheetViews>
  <sheetFormatPr defaultColWidth="9.140625" defaultRowHeight="15"/>
  <cols>
    <col min="2" max="2" width="38.421875" style="0" customWidth="1"/>
    <col min="4" max="4" width="1.28515625" style="0" customWidth="1"/>
    <col min="7" max="7" width="10.00390625" style="2" customWidth="1"/>
  </cols>
  <sheetData>
    <row r="1" spans="2:7" ht="15">
      <c r="B1" s="16" t="s">
        <v>30</v>
      </c>
      <c r="C1" s="16" t="s">
        <v>34</v>
      </c>
      <c r="D1" s="17"/>
      <c r="E1" s="17"/>
      <c r="F1" s="17"/>
      <c r="G1" s="18"/>
    </row>
    <row r="2" spans="2:7" ht="15">
      <c r="B2" s="17"/>
      <c r="C2" s="17"/>
      <c r="D2" s="17"/>
      <c r="E2" s="17"/>
      <c r="F2" s="17"/>
      <c r="G2" s="18"/>
    </row>
    <row r="3" spans="2:7" ht="60">
      <c r="B3" s="16" t="s">
        <v>5</v>
      </c>
      <c r="C3" s="19"/>
      <c r="E3" s="20" t="s">
        <v>354</v>
      </c>
      <c r="F3" s="20" t="s">
        <v>254</v>
      </c>
      <c r="G3" s="20" t="s">
        <v>255</v>
      </c>
    </row>
    <row r="4" spans="2:7" ht="15">
      <c r="B4" s="21" t="s">
        <v>307</v>
      </c>
      <c r="C4" s="23">
        <v>9</v>
      </c>
      <c r="E4" s="26"/>
      <c r="F4" s="27"/>
      <c r="G4" s="27"/>
    </row>
    <row r="5" spans="2:7" ht="15">
      <c r="B5" s="21" t="s">
        <v>308</v>
      </c>
      <c r="C5" s="23">
        <v>97</v>
      </c>
      <c r="E5" s="26"/>
      <c r="F5" s="27"/>
      <c r="G5" s="27"/>
    </row>
    <row r="6" spans="2:7" ht="15">
      <c r="B6" s="21" t="s">
        <v>309</v>
      </c>
      <c r="C6" s="23">
        <v>31</v>
      </c>
      <c r="E6" s="26"/>
      <c r="F6" s="27"/>
      <c r="G6" s="27"/>
    </row>
    <row r="7" spans="2:7" ht="15">
      <c r="B7" s="21" t="s">
        <v>310</v>
      </c>
      <c r="C7" s="23">
        <v>1</v>
      </c>
      <c r="E7" s="26"/>
      <c r="F7" s="27"/>
      <c r="G7" s="27"/>
    </row>
    <row r="8" spans="2:7" ht="15">
      <c r="B8" s="21" t="s">
        <v>311</v>
      </c>
      <c r="C8" s="23">
        <v>4</v>
      </c>
      <c r="E8" s="26"/>
      <c r="F8" s="27"/>
      <c r="G8" s="27"/>
    </row>
    <row r="9" spans="2:7" ht="15">
      <c r="B9" s="21" t="s">
        <v>312</v>
      </c>
      <c r="C9" s="23">
        <v>1</v>
      </c>
      <c r="E9" s="26"/>
      <c r="F9" s="27"/>
      <c r="G9" s="27"/>
    </row>
    <row r="10" spans="2:7" ht="15">
      <c r="B10" s="21" t="s">
        <v>313</v>
      </c>
      <c r="C10" s="23">
        <v>14</v>
      </c>
      <c r="E10" s="26"/>
      <c r="F10" s="27"/>
      <c r="G10" s="27"/>
    </row>
    <row r="11" spans="2:7" ht="15">
      <c r="B11" s="21" t="s">
        <v>314</v>
      </c>
      <c r="C11" s="23">
        <v>7</v>
      </c>
      <c r="E11" s="26"/>
      <c r="F11" s="27"/>
      <c r="G11" s="27"/>
    </row>
    <row r="12" spans="2:7" ht="15">
      <c r="B12" s="21" t="s">
        <v>315</v>
      </c>
      <c r="C12" s="23">
        <v>2</v>
      </c>
      <c r="E12" s="26"/>
      <c r="F12" s="27"/>
      <c r="G12" s="27"/>
    </row>
    <row r="13" spans="2:7" ht="15">
      <c r="B13" s="21" t="s">
        <v>316</v>
      </c>
      <c r="C13" s="23">
        <v>3</v>
      </c>
      <c r="E13" s="26"/>
      <c r="F13" s="27"/>
      <c r="G13" s="27"/>
    </row>
    <row r="14" spans="2:7" ht="15">
      <c r="B14" s="21" t="s">
        <v>317</v>
      </c>
      <c r="C14" s="23">
        <v>9</v>
      </c>
      <c r="E14" s="26"/>
      <c r="F14" s="27"/>
      <c r="G14" s="27"/>
    </row>
    <row r="15" spans="2:7" ht="15">
      <c r="B15" s="21" t="s">
        <v>318</v>
      </c>
      <c r="C15" s="23"/>
      <c r="E15" s="26"/>
      <c r="F15" s="27"/>
      <c r="G15" s="27"/>
    </row>
    <row r="16" spans="2:7" ht="15">
      <c r="B16" s="21" t="s">
        <v>319</v>
      </c>
      <c r="C16" s="23">
        <v>7</v>
      </c>
      <c r="E16" s="26"/>
      <c r="F16" s="27"/>
      <c r="G16" s="27"/>
    </row>
    <row r="17" spans="2:7" ht="15">
      <c r="B17" s="21" t="s">
        <v>320</v>
      </c>
      <c r="C17" s="23">
        <v>92</v>
      </c>
      <c r="E17" s="26"/>
      <c r="F17" s="27"/>
      <c r="G17" s="27"/>
    </row>
    <row r="18" spans="2:7" ht="15">
      <c r="B18" s="21" t="s">
        <v>321</v>
      </c>
      <c r="C18" s="23">
        <v>40</v>
      </c>
      <c r="E18" s="26"/>
      <c r="F18" s="27"/>
      <c r="G18" s="27"/>
    </row>
    <row r="19" spans="2:7" ht="15">
      <c r="B19" s="21" t="s">
        <v>322</v>
      </c>
      <c r="C19" s="23">
        <v>2</v>
      </c>
      <c r="E19" s="26"/>
      <c r="F19" s="27"/>
      <c r="G19" s="27"/>
    </row>
    <row r="20" spans="2:7" ht="15">
      <c r="B20" s="73" t="s">
        <v>19</v>
      </c>
      <c r="C20" s="72">
        <f>SUM(C4:C19)</f>
        <v>319</v>
      </c>
      <c r="G20"/>
    </row>
    <row r="21" ht="15">
      <c r="G21"/>
    </row>
    <row r="22" ht="15">
      <c r="G22"/>
    </row>
    <row r="23" ht="15">
      <c r="G23"/>
    </row>
    <row r="24" ht="15">
      <c r="G24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8"/>
  <sheetViews>
    <sheetView view="pageLayout" workbookViewId="0" topLeftCell="A1">
      <selection activeCell="I4" sqref="I4:K6"/>
    </sheetView>
  </sheetViews>
  <sheetFormatPr defaultColWidth="9.140625" defaultRowHeight="15"/>
  <cols>
    <col min="2" max="2" width="38.421875" style="0" customWidth="1"/>
    <col min="7" max="7" width="8.28125" style="2" customWidth="1"/>
  </cols>
  <sheetData>
    <row r="1" spans="2:11" ht="15">
      <c r="B1" s="16" t="s">
        <v>30</v>
      </c>
      <c r="C1" s="16" t="s">
        <v>34</v>
      </c>
      <c r="D1" s="17"/>
      <c r="E1" s="17"/>
      <c r="F1" s="17"/>
      <c r="G1" s="18"/>
      <c r="H1" s="17"/>
      <c r="I1" s="17"/>
      <c r="J1" s="17"/>
      <c r="K1" s="17"/>
    </row>
    <row r="2" spans="2:11" ht="15">
      <c r="B2" s="17"/>
      <c r="C2" s="17"/>
      <c r="D2" s="17"/>
      <c r="E2" s="17"/>
      <c r="F2" s="17"/>
      <c r="G2" s="18"/>
      <c r="H2" s="17"/>
      <c r="I2" s="17"/>
      <c r="J2" s="17"/>
      <c r="K2" s="17"/>
    </row>
    <row r="3" spans="2:11" ht="15">
      <c r="B3" s="16"/>
      <c r="C3" s="16" t="s">
        <v>0</v>
      </c>
      <c r="D3" s="16"/>
      <c r="E3" s="16"/>
      <c r="F3" s="16"/>
      <c r="G3"/>
      <c r="H3" s="17"/>
      <c r="I3" s="17"/>
      <c r="J3" s="17"/>
      <c r="K3" s="17"/>
    </row>
    <row r="4" spans="2:11" ht="60">
      <c r="B4" s="16" t="s">
        <v>5</v>
      </c>
      <c r="C4" s="16" t="s">
        <v>1</v>
      </c>
      <c r="D4" s="16" t="s">
        <v>2</v>
      </c>
      <c r="E4" s="16" t="s">
        <v>3</v>
      </c>
      <c r="F4" s="19" t="s">
        <v>4</v>
      </c>
      <c r="G4"/>
      <c r="H4" s="20" t="s">
        <v>38</v>
      </c>
      <c r="I4" s="20" t="s">
        <v>248</v>
      </c>
      <c r="J4" s="20" t="s">
        <v>254</v>
      </c>
      <c r="K4" s="20" t="s">
        <v>255</v>
      </c>
    </row>
    <row r="5" spans="2:11" ht="15">
      <c r="B5" s="21" t="s">
        <v>20</v>
      </c>
      <c r="C5" s="22">
        <v>3</v>
      </c>
      <c r="D5" s="22"/>
      <c r="E5" s="22"/>
      <c r="F5" s="23">
        <v>3</v>
      </c>
      <c r="G5"/>
      <c r="H5" s="24">
        <f>GETPIVOTDATA("Součet z a - vertikální, látkové, 190x200",$B$3)*1.9*2*2</f>
        <v>22.799999999999997</v>
      </c>
      <c r="I5" s="26"/>
      <c r="J5" s="27"/>
      <c r="K5" s="27"/>
    </row>
    <row r="6" spans="2:11" ht="15">
      <c r="B6" s="21" t="s">
        <v>21</v>
      </c>
      <c r="C6" s="22"/>
      <c r="D6" s="22">
        <v>3</v>
      </c>
      <c r="E6" s="22"/>
      <c r="F6" s="23">
        <v>3</v>
      </c>
      <c r="G6"/>
      <c r="H6" s="24">
        <f>GETPIVOTDATA("Součet z b -vertikální, látkové 190x245",$B$3)*1.9*2.45*2</f>
        <v>27.93</v>
      </c>
      <c r="I6" s="26"/>
      <c r="J6" s="27"/>
      <c r="K6" s="27"/>
    </row>
    <row r="7" spans="2:11" ht="15">
      <c r="B7" s="21" t="s">
        <v>22</v>
      </c>
      <c r="C7" s="22">
        <v>4</v>
      </c>
      <c r="D7" s="22"/>
      <c r="E7" s="22"/>
      <c r="F7" s="23">
        <v>4</v>
      </c>
      <c r="G7"/>
      <c r="H7" s="24">
        <f>GETPIVOTDATA("Součet z c - vertikální, látkové 190x520",$B$3)*1.9*5.2*2</f>
        <v>79.03999999999999</v>
      </c>
      <c r="I7" s="26"/>
      <c r="J7" s="27"/>
      <c r="K7" s="27"/>
    </row>
    <row r="8" spans="2:11" ht="15">
      <c r="B8" s="21" t="s">
        <v>23</v>
      </c>
      <c r="C8" s="22">
        <v>6</v>
      </c>
      <c r="D8" s="22"/>
      <c r="E8" s="22"/>
      <c r="F8" s="23">
        <v>6</v>
      </c>
      <c r="G8"/>
      <c r="H8" s="24">
        <f>GETPIVOTDATA("Součet z d - vertikální, látkové 230x255",$B$3)*2.3*2.55*2</f>
        <v>70.38</v>
      </c>
      <c r="I8" s="26"/>
      <c r="J8" s="27"/>
      <c r="K8" s="27"/>
    </row>
    <row r="9" spans="2:11" ht="15">
      <c r="B9" s="21" t="s">
        <v>24</v>
      </c>
      <c r="C9" s="22">
        <v>1</v>
      </c>
      <c r="D9" s="22"/>
      <c r="E9" s="22"/>
      <c r="F9" s="23">
        <v>1</v>
      </c>
      <c r="G9"/>
      <c r="H9" s="24">
        <f>GETPIVOTDATA("Součet z e -  horizontální, hliníkové 170x190 ",$B$3)*1.7*1.9*2</f>
        <v>6.46</v>
      </c>
      <c r="I9" s="26"/>
      <c r="J9" s="27"/>
      <c r="K9" s="27"/>
    </row>
    <row r="10" spans="2:11" ht="15">
      <c r="B10" s="21" t="s">
        <v>25</v>
      </c>
      <c r="C10" s="22">
        <v>1</v>
      </c>
      <c r="D10" s="22"/>
      <c r="E10" s="22"/>
      <c r="F10" s="23">
        <v>1</v>
      </c>
      <c r="G10"/>
      <c r="H10" s="24">
        <f>GETPIVOTDATA("Součet z f - horizontální, hliníkové 180x210",$B$3)*1.8*2.1*2</f>
        <v>7.5600000000000005</v>
      </c>
      <c r="I10" s="26"/>
      <c r="J10" s="27"/>
      <c r="K10" s="27"/>
    </row>
    <row r="11" spans="2:11" ht="15">
      <c r="B11" s="21" t="s">
        <v>26</v>
      </c>
      <c r="C11" s="22">
        <v>204</v>
      </c>
      <c r="D11" s="22">
        <v>6</v>
      </c>
      <c r="E11" s="22"/>
      <c r="F11" s="23">
        <v>210</v>
      </c>
      <c r="G11"/>
      <c r="H11" s="24">
        <f>GETPIVOTDATA("Součet z g -horizontální, hliníkové 50x90",$B$3)*0.5*0.9*2</f>
        <v>189</v>
      </c>
      <c r="I11" s="26"/>
      <c r="J11" s="27"/>
      <c r="K11" s="27"/>
    </row>
    <row r="12" spans="2:11" ht="15">
      <c r="B12" s="21" t="s">
        <v>27</v>
      </c>
      <c r="C12" s="22">
        <v>3</v>
      </c>
      <c r="D12" s="22"/>
      <c r="E12" s="22"/>
      <c r="F12" s="23">
        <v>3</v>
      </c>
      <c r="G12"/>
      <c r="H12" s="24">
        <f>GETPIVOTDATA("Součet z h - horizontální, hliníkové  180x75",$B$3)*1.8*0.75*2</f>
        <v>8.100000000000001</v>
      </c>
      <c r="I12" s="26"/>
      <c r="J12" s="27"/>
      <c r="K12" s="27"/>
    </row>
    <row r="13" spans="2:11" ht="15">
      <c r="B13" s="21" t="s">
        <v>28</v>
      </c>
      <c r="C13" s="22">
        <v>29</v>
      </c>
      <c r="D13" s="22"/>
      <c r="E13" s="22"/>
      <c r="F13" s="23">
        <v>29</v>
      </c>
      <c r="G13"/>
      <c r="H13" s="24">
        <f>GETPIVOTDATA("Součet z ch - horizontální, hliníkové 50x70",$B$3)*0.5*0.7*2</f>
        <v>20.299999999999997</v>
      </c>
      <c r="I13" s="26"/>
      <c r="J13" s="27"/>
      <c r="K13" s="27"/>
    </row>
    <row r="14" spans="2:11" ht="15">
      <c r="B14" s="21" t="s">
        <v>29</v>
      </c>
      <c r="C14" s="22">
        <v>2</v>
      </c>
      <c r="D14" s="22"/>
      <c r="E14" s="22"/>
      <c r="F14" s="23">
        <v>2</v>
      </c>
      <c r="G14"/>
      <c r="H14" s="24">
        <f>GETPIVOTDATA("Součet z i - horizontální, hliníkové 60x175",$B$3)*0.6*1.75*2</f>
        <v>4.2</v>
      </c>
      <c r="I14" s="26"/>
      <c r="J14" s="27"/>
      <c r="K14" s="27"/>
    </row>
    <row r="15" spans="2:11" ht="15">
      <c r="B15" s="17"/>
      <c r="C15" s="17"/>
      <c r="D15" s="17"/>
      <c r="E15" s="17"/>
      <c r="F15" s="17"/>
      <c r="G15" s="25" t="s">
        <v>31</v>
      </c>
      <c r="H15" s="16">
        <f>SUM(H5:H8)</f>
        <v>200.14999999999998</v>
      </c>
      <c r="I15" s="27"/>
      <c r="J15" s="27"/>
      <c r="K15" s="27"/>
    </row>
    <row r="16" spans="2:11" ht="15.75" thickBot="1">
      <c r="B16" s="17"/>
      <c r="C16" s="17"/>
      <c r="D16" s="17"/>
      <c r="E16" s="17"/>
      <c r="F16" s="17"/>
      <c r="G16" s="25" t="s">
        <v>32</v>
      </c>
      <c r="H16" s="13">
        <f>SUM(H9:H14)</f>
        <v>235.62</v>
      </c>
      <c r="I16" s="38"/>
      <c r="J16" s="39"/>
      <c r="K16" s="39"/>
    </row>
    <row r="17" spans="2:11" ht="15.75" thickBot="1">
      <c r="B17" s="46" t="s">
        <v>19</v>
      </c>
      <c r="C17" s="47">
        <f>SUM(C5:C16)</f>
        <v>253</v>
      </c>
      <c r="D17" s="47">
        <f>SUM(D5:D16)</f>
        <v>9</v>
      </c>
      <c r="E17" s="47">
        <f>SUM(E5:E16)</f>
        <v>0</v>
      </c>
      <c r="F17" s="47">
        <f>SUM(F5:F16)</f>
        <v>262</v>
      </c>
      <c r="G17" s="47">
        <f>SUM(G5:G16)</f>
        <v>0</v>
      </c>
      <c r="H17" s="48">
        <f>SUM(H15:H16)</f>
        <v>435.77</v>
      </c>
      <c r="I17" s="48" t="s">
        <v>249</v>
      </c>
      <c r="J17" s="49"/>
      <c r="K17" s="50"/>
    </row>
    <row r="18" spans="2:11" ht="15">
      <c r="B18" s="17"/>
      <c r="C18" s="17"/>
      <c r="D18" s="17"/>
      <c r="E18" s="17"/>
      <c r="F18" s="17"/>
      <c r="G18" s="18"/>
      <c r="H18" s="17"/>
      <c r="I18" s="17"/>
      <c r="J18" s="17"/>
      <c r="K18" s="17"/>
    </row>
  </sheetData>
  <sheetProtection/>
  <printOptions/>
  <pageMargins left="0.7" right="0.7" top="0.787401575" bottom="0.787401575" header="0.3" footer="0.3"/>
  <pageSetup horizontalDpi="600" verticalDpi="600" orientation="landscape" paperSize="9" r:id="rId1"/>
  <headerFooter>
    <oddHeader>&amp;CPříloha č. 1_kalkulace čištění žaluzií</oddHeader>
    <oddFooter>&amp;C„Zajištění komplexních úklidových služeb v objektu Finančního úřadu pro Královéhradecký kraj – Územní pracoviště v Jičíně“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3" sqref="D3:F32"/>
    </sheetView>
  </sheetViews>
  <sheetFormatPr defaultColWidth="9.140625" defaultRowHeight="15"/>
  <cols>
    <col min="1" max="1" width="27.8515625" style="0" bestFit="1" customWidth="1"/>
    <col min="2" max="2" width="8.00390625" style="0" customWidth="1"/>
    <col min="3" max="3" width="1.8515625" style="0" customWidth="1"/>
  </cols>
  <sheetData>
    <row r="1" spans="1:2" ht="15">
      <c r="A1" s="69" t="s">
        <v>30</v>
      </c>
      <c r="B1" t="s">
        <v>34</v>
      </c>
    </row>
    <row r="3" spans="1:6" ht="60">
      <c r="A3" s="69" t="s">
        <v>323</v>
      </c>
      <c r="D3" s="20" t="s">
        <v>354</v>
      </c>
      <c r="E3" s="20" t="s">
        <v>254</v>
      </c>
      <c r="F3" s="20" t="s">
        <v>255</v>
      </c>
    </row>
    <row r="4" spans="1:6" ht="15">
      <c r="A4" s="70" t="s">
        <v>326</v>
      </c>
      <c r="B4" s="71">
        <v>1</v>
      </c>
      <c r="D4" s="26"/>
      <c r="E4" s="27"/>
      <c r="F4" s="27"/>
    </row>
    <row r="5" spans="1:6" ht="15">
      <c r="A5" s="70" t="s">
        <v>330</v>
      </c>
      <c r="B5" s="71">
        <v>1</v>
      </c>
      <c r="D5" s="26"/>
      <c r="E5" s="27"/>
      <c r="F5" s="27"/>
    </row>
    <row r="6" spans="1:6" ht="15">
      <c r="A6" s="70" t="s">
        <v>331</v>
      </c>
      <c r="B6" s="71">
        <v>1</v>
      </c>
      <c r="D6" s="26"/>
      <c r="E6" s="27"/>
      <c r="F6" s="27"/>
    </row>
    <row r="7" spans="1:6" ht="15">
      <c r="A7" s="70" t="s">
        <v>333</v>
      </c>
      <c r="B7" s="71">
        <v>1</v>
      </c>
      <c r="D7" s="26"/>
      <c r="E7" s="27"/>
      <c r="F7" s="27"/>
    </row>
    <row r="8" spans="1:6" ht="15">
      <c r="A8" s="70" t="s">
        <v>334</v>
      </c>
      <c r="B8" s="71">
        <v>1</v>
      </c>
      <c r="D8" s="26"/>
      <c r="E8" s="27"/>
      <c r="F8" s="27"/>
    </row>
    <row r="9" spans="1:6" ht="15">
      <c r="A9" s="70" t="s">
        <v>335</v>
      </c>
      <c r="B9" s="71">
        <v>1</v>
      </c>
      <c r="D9" s="26"/>
      <c r="E9" s="27"/>
      <c r="F9" s="27"/>
    </row>
    <row r="10" spans="1:6" ht="15">
      <c r="A10" s="70" t="s">
        <v>336</v>
      </c>
      <c r="B10" s="71">
        <v>1</v>
      </c>
      <c r="D10" s="26"/>
      <c r="E10" s="27"/>
      <c r="F10" s="27"/>
    </row>
    <row r="11" spans="1:6" ht="15">
      <c r="A11" s="70" t="s">
        <v>347</v>
      </c>
      <c r="B11" s="71">
        <v>1</v>
      </c>
      <c r="D11" s="26"/>
      <c r="E11" s="27"/>
      <c r="F11" s="27"/>
    </row>
    <row r="12" spans="1:6" ht="15">
      <c r="A12" s="70" t="s">
        <v>353</v>
      </c>
      <c r="B12" s="71">
        <v>1</v>
      </c>
      <c r="D12" s="26"/>
      <c r="E12" s="27"/>
      <c r="F12" s="27"/>
    </row>
    <row r="13" spans="1:6" ht="15">
      <c r="A13" s="70" t="s">
        <v>325</v>
      </c>
      <c r="B13" s="71">
        <v>2</v>
      </c>
      <c r="D13" s="26"/>
      <c r="E13" s="27"/>
      <c r="F13" s="27"/>
    </row>
    <row r="14" spans="1:6" ht="15">
      <c r="A14" s="70" t="s">
        <v>332</v>
      </c>
      <c r="B14" s="71">
        <v>2</v>
      </c>
      <c r="D14" s="26"/>
      <c r="E14" s="27"/>
      <c r="F14" s="27"/>
    </row>
    <row r="15" spans="1:6" ht="15">
      <c r="A15" s="70" t="s">
        <v>339</v>
      </c>
      <c r="B15" s="71">
        <v>2</v>
      </c>
      <c r="D15" s="26"/>
      <c r="E15" s="27"/>
      <c r="F15" s="27"/>
    </row>
    <row r="16" spans="1:6" ht="15">
      <c r="A16" s="70" t="s">
        <v>345</v>
      </c>
      <c r="B16" s="71">
        <v>2</v>
      </c>
      <c r="D16" s="26"/>
      <c r="E16" s="27"/>
      <c r="F16" s="27"/>
    </row>
    <row r="17" spans="1:6" ht="15">
      <c r="A17" s="70" t="s">
        <v>352</v>
      </c>
      <c r="B17" s="71">
        <v>2</v>
      </c>
      <c r="D17" s="26"/>
      <c r="E17" s="27"/>
      <c r="F17" s="27"/>
    </row>
    <row r="18" spans="1:6" ht="15">
      <c r="A18" s="70" t="s">
        <v>324</v>
      </c>
      <c r="B18" s="71">
        <v>3</v>
      </c>
      <c r="D18" s="26"/>
      <c r="E18" s="27"/>
      <c r="F18" s="27"/>
    </row>
    <row r="19" spans="1:6" ht="15">
      <c r="A19" s="70" t="s">
        <v>337</v>
      </c>
      <c r="B19" s="71">
        <v>3</v>
      </c>
      <c r="D19" s="26"/>
      <c r="E19" s="27"/>
      <c r="F19" s="27"/>
    </row>
    <row r="20" spans="1:6" ht="15">
      <c r="A20" s="70" t="s">
        <v>340</v>
      </c>
      <c r="B20" s="71">
        <v>3</v>
      </c>
      <c r="D20" s="26"/>
      <c r="E20" s="27"/>
      <c r="F20" s="27"/>
    </row>
    <row r="21" spans="1:6" ht="15">
      <c r="A21" s="70" t="s">
        <v>346</v>
      </c>
      <c r="B21" s="71">
        <v>3</v>
      </c>
      <c r="D21" s="26"/>
      <c r="E21" s="27"/>
      <c r="F21" s="27"/>
    </row>
    <row r="22" spans="1:6" ht="15">
      <c r="A22" s="70" t="s">
        <v>329</v>
      </c>
      <c r="B22" s="71">
        <v>4</v>
      </c>
      <c r="D22" s="26"/>
      <c r="E22" s="27"/>
      <c r="F22" s="27"/>
    </row>
    <row r="23" spans="1:6" ht="15">
      <c r="A23" s="70" t="s">
        <v>341</v>
      </c>
      <c r="B23" s="71">
        <v>5</v>
      </c>
      <c r="D23" s="26"/>
      <c r="E23" s="27"/>
      <c r="F23" s="27"/>
    </row>
    <row r="24" spans="1:6" ht="15">
      <c r="A24" s="70" t="s">
        <v>327</v>
      </c>
      <c r="B24" s="71">
        <v>6</v>
      </c>
      <c r="D24" s="26"/>
      <c r="E24" s="27"/>
      <c r="F24" s="27"/>
    </row>
    <row r="25" spans="1:6" ht="15">
      <c r="A25" s="70" t="s">
        <v>343</v>
      </c>
      <c r="B25" s="71">
        <v>6</v>
      </c>
      <c r="D25" s="26"/>
      <c r="E25" s="27"/>
      <c r="F25" s="27"/>
    </row>
    <row r="26" spans="1:6" ht="15">
      <c r="A26" s="70" t="s">
        <v>348</v>
      </c>
      <c r="B26" s="71">
        <v>6</v>
      </c>
      <c r="D26" s="26"/>
      <c r="E26" s="27"/>
      <c r="F26" s="27"/>
    </row>
    <row r="27" spans="1:6" ht="15">
      <c r="A27" s="70" t="s">
        <v>351</v>
      </c>
      <c r="B27" s="71">
        <v>6</v>
      </c>
      <c r="D27" s="26"/>
      <c r="E27" s="27"/>
      <c r="F27" s="27"/>
    </row>
    <row r="28" spans="1:6" ht="15">
      <c r="A28" s="70" t="s">
        <v>338</v>
      </c>
      <c r="B28" s="71">
        <v>7</v>
      </c>
      <c r="D28" s="26"/>
      <c r="E28" s="27"/>
      <c r="F28" s="27"/>
    </row>
    <row r="29" spans="1:6" ht="15">
      <c r="A29" s="70" t="s">
        <v>349</v>
      </c>
      <c r="B29" s="71">
        <v>10</v>
      </c>
      <c r="D29" s="26"/>
      <c r="E29" s="27"/>
      <c r="F29" s="27"/>
    </row>
    <row r="30" spans="1:6" ht="15">
      <c r="A30" s="70" t="s">
        <v>350</v>
      </c>
      <c r="B30" s="71">
        <v>11</v>
      </c>
      <c r="D30" s="26"/>
      <c r="E30" s="27"/>
      <c r="F30" s="27"/>
    </row>
    <row r="31" spans="1:6" ht="15">
      <c r="A31" s="70" t="s">
        <v>342</v>
      </c>
      <c r="B31" s="71">
        <v>20</v>
      </c>
      <c r="D31" s="26"/>
      <c r="E31" s="27"/>
      <c r="F31" s="27"/>
    </row>
    <row r="32" spans="1:6" ht="15">
      <c r="A32" s="70" t="s">
        <v>344</v>
      </c>
      <c r="B32" s="71">
        <v>33</v>
      </c>
      <c r="D32" s="26"/>
      <c r="E32" s="27"/>
      <c r="F32" s="27"/>
    </row>
    <row r="33" spans="1:2" ht="15">
      <c r="A33" s="70" t="s">
        <v>328</v>
      </c>
      <c r="B33" s="71"/>
    </row>
    <row r="34" spans="1:2" ht="15">
      <c r="A34" s="70" t="s">
        <v>19</v>
      </c>
      <c r="B34" s="72">
        <f>SUM(B4:B33)</f>
        <v>145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M118"/>
  <sheetViews>
    <sheetView tabSelected="1" zoomScale="110" zoomScaleNormal="110" zoomScalePageLayoutView="0" workbookViewId="0" topLeftCell="A1">
      <pane xSplit="2" ySplit="2" topLeftCell="C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U19" sqref="U19"/>
    </sheetView>
  </sheetViews>
  <sheetFormatPr defaultColWidth="9.140625" defaultRowHeight="15"/>
  <cols>
    <col min="1" max="2" width="9.57421875" style="81" customWidth="1"/>
    <col min="3" max="3" width="6.00390625" style="81" customWidth="1"/>
    <col min="4" max="4" width="6.421875" style="81" customWidth="1"/>
    <col min="5" max="5" width="10.140625" style="81" customWidth="1"/>
    <col min="6" max="6" width="7.8515625" style="55" customWidth="1"/>
    <col min="7" max="7" width="7.57421875" style="55" customWidth="1"/>
    <col min="8" max="8" width="9.140625" style="81" customWidth="1"/>
    <col min="9" max="9" width="5.7109375" style="81" customWidth="1"/>
    <col min="10" max="10" width="8.28125" style="81" customWidth="1"/>
    <col min="11" max="13" width="5.7109375" style="81" customWidth="1"/>
    <col min="14" max="14" width="6.57421875" style="81" customWidth="1"/>
    <col min="15" max="15" width="8.140625" style="55" customWidth="1"/>
    <col min="16" max="16" width="9.00390625" style="81" customWidth="1"/>
    <col min="17" max="17" width="6.140625" style="81" customWidth="1"/>
    <col min="18" max="68" width="5.7109375" style="81" customWidth="1"/>
    <col min="69" max="69" width="12.00390625" style="81" customWidth="1"/>
    <col min="70" max="85" width="6.57421875" style="81" customWidth="1"/>
    <col min="86" max="86" width="7.28125" style="81" customWidth="1"/>
    <col min="87" max="88" width="9.8515625" style="81" customWidth="1"/>
    <col min="89" max="89" width="8.28125" style="59" customWidth="1"/>
    <col min="90" max="116" width="9.8515625" style="81" customWidth="1"/>
    <col min="117" max="16384" width="9.140625" style="81" customWidth="1"/>
  </cols>
  <sheetData>
    <row r="1" spans="6:116" s="80" customFormat="1" ht="30" customHeight="1">
      <c r="F1" s="64"/>
      <c r="G1" s="64"/>
      <c r="H1" s="99" t="s">
        <v>39</v>
      </c>
      <c r="I1" s="100"/>
      <c r="J1" s="99" t="s">
        <v>40</v>
      </c>
      <c r="K1" s="100"/>
      <c r="L1" s="100"/>
      <c r="M1" s="100"/>
      <c r="N1" s="100"/>
      <c r="O1" s="64"/>
      <c r="Q1" s="99" t="s">
        <v>41</v>
      </c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 t="s">
        <v>42</v>
      </c>
      <c r="AF1" s="99"/>
      <c r="AG1" s="99"/>
      <c r="AH1" s="99"/>
      <c r="AI1" s="99"/>
      <c r="AJ1" s="99"/>
      <c r="AK1" s="99"/>
      <c r="AL1" s="99"/>
      <c r="AM1" s="99"/>
      <c r="AN1" s="99"/>
      <c r="AO1" s="99" t="s">
        <v>43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R1" s="65" t="s">
        <v>276</v>
      </c>
      <c r="BS1" s="65">
        <v>2</v>
      </c>
      <c r="BT1" s="65">
        <v>3</v>
      </c>
      <c r="BU1" s="65">
        <v>4</v>
      </c>
      <c r="BV1" s="65">
        <v>5</v>
      </c>
      <c r="BW1" s="65">
        <v>6</v>
      </c>
      <c r="BX1" s="65">
        <v>7</v>
      </c>
      <c r="BY1" s="65">
        <v>8</v>
      </c>
      <c r="BZ1" s="65">
        <v>9</v>
      </c>
      <c r="CA1" s="65">
        <v>10</v>
      </c>
      <c r="CB1" s="65">
        <v>11</v>
      </c>
      <c r="CC1" s="65">
        <v>15</v>
      </c>
      <c r="CD1" s="65">
        <v>16</v>
      </c>
      <c r="CE1" s="65">
        <v>17</v>
      </c>
      <c r="CF1" s="65">
        <v>18</v>
      </c>
      <c r="CG1" s="65">
        <v>19</v>
      </c>
      <c r="CI1" s="99" t="s">
        <v>259</v>
      </c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</row>
    <row r="2" spans="1:117" s="61" customFormat="1" ht="56.25" customHeight="1">
      <c r="A2" s="61" t="s">
        <v>44</v>
      </c>
      <c r="B2" s="61" t="s">
        <v>45</v>
      </c>
      <c r="C2" s="61" t="s">
        <v>30</v>
      </c>
      <c r="D2" s="61" t="s">
        <v>0</v>
      </c>
      <c r="E2" s="61" t="s">
        <v>46</v>
      </c>
      <c r="F2" s="62" t="s">
        <v>47</v>
      </c>
      <c r="G2" s="62" t="s">
        <v>48</v>
      </c>
      <c r="H2" s="61" t="s">
        <v>49</v>
      </c>
      <c r="I2" s="61" t="s">
        <v>50</v>
      </c>
      <c r="J2" s="61" t="s">
        <v>51</v>
      </c>
      <c r="K2" s="61" t="s">
        <v>52</v>
      </c>
      <c r="L2" s="61" t="s">
        <v>53</v>
      </c>
      <c r="M2" s="61" t="s">
        <v>54</v>
      </c>
      <c r="N2" s="61" t="s">
        <v>55</v>
      </c>
      <c r="O2" s="62" t="s">
        <v>56</v>
      </c>
      <c r="P2" s="61" t="s">
        <v>57</v>
      </c>
      <c r="Q2" s="61" t="s">
        <v>58</v>
      </c>
      <c r="R2" s="61" t="s">
        <v>59</v>
      </c>
      <c r="S2" s="61" t="s">
        <v>60</v>
      </c>
      <c r="T2" s="61" t="s">
        <v>61</v>
      </c>
      <c r="U2" s="61" t="s">
        <v>62</v>
      </c>
      <c r="V2" s="61" t="s">
        <v>63</v>
      </c>
      <c r="W2" s="61" t="s">
        <v>64</v>
      </c>
      <c r="X2" s="61" t="s">
        <v>65</v>
      </c>
      <c r="Y2" s="61" t="s">
        <v>66</v>
      </c>
      <c r="Z2" s="61" t="s">
        <v>67</v>
      </c>
      <c r="AA2" s="61" t="s">
        <v>68</v>
      </c>
      <c r="AB2" s="61" t="s">
        <v>69</v>
      </c>
      <c r="AC2" s="61" t="s">
        <v>70</v>
      </c>
      <c r="AD2" s="61" t="s">
        <v>71</v>
      </c>
      <c r="AE2" s="61" t="s">
        <v>72</v>
      </c>
      <c r="AF2" s="61" t="s">
        <v>73</v>
      </c>
      <c r="AG2" s="61" t="s">
        <v>74</v>
      </c>
      <c r="AH2" s="61" t="s">
        <v>75</v>
      </c>
      <c r="AI2" s="61" t="s">
        <v>76</v>
      </c>
      <c r="AJ2" s="61" t="s">
        <v>77</v>
      </c>
      <c r="AK2" s="61" t="s">
        <v>78</v>
      </c>
      <c r="AL2" s="61" t="s">
        <v>79</v>
      </c>
      <c r="AM2" s="61" t="s">
        <v>80</v>
      </c>
      <c r="AN2" s="61" t="s">
        <v>81</v>
      </c>
      <c r="AO2" s="61" t="s">
        <v>82</v>
      </c>
      <c r="AP2" s="61" t="s">
        <v>83</v>
      </c>
      <c r="AQ2" s="61" t="s">
        <v>84</v>
      </c>
      <c r="AR2" s="61" t="s">
        <v>85</v>
      </c>
      <c r="AS2" s="61" t="s">
        <v>86</v>
      </c>
      <c r="AT2" s="61" t="s">
        <v>87</v>
      </c>
      <c r="AU2" s="61" t="s">
        <v>88</v>
      </c>
      <c r="AV2" s="61" t="s">
        <v>89</v>
      </c>
      <c r="AW2" s="61" t="s">
        <v>90</v>
      </c>
      <c r="AX2" s="61" t="s">
        <v>91</v>
      </c>
      <c r="AY2" s="61" t="s">
        <v>92</v>
      </c>
      <c r="AZ2" s="61" t="s">
        <v>93</v>
      </c>
      <c r="BA2" s="61" t="s">
        <v>94</v>
      </c>
      <c r="BB2" s="61" t="s">
        <v>95</v>
      </c>
      <c r="BC2" s="61" t="s">
        <v>96</v>
      </c>
      <c r="BD2" s="61" t="s">
        <v>97</v>
      </c>
      <c r="BE2" s="61" t="s">
        <v>98</v>
      </c>
      <c r="BF2" s="61" t="s">
        <v>99</v>
      </c>
      <c r="BG2" s="61" t="s">
        <v>100</v>
      </c>
      <c r="BH2" s="61" t="s">
        <v>101</v>
      </c>
      <c r="BI2" s="61" t="s">
        <v>102</v>
      </c>
      <c r="BJ2" s="61" t="s">
        <v>103</v>
      </c>
      <c r="BK2" s="61" t="s">
        <v>104</v>
      </c>
      <c r="BL2" s="61" t="s">
        <v>105</v>
      </c>
      <c r="BM2" s="61" t="s">
        <v>106</v>
      </c>
      <c r="BN2" s="61" t="s">
        <v>107</v>
      </c>
      <c r="BO2" s="61" t="s">
        <v>108</v>
      </c>
      <c r="BP2" s="61" t="s">
        <v>109</v>
      </c>
      <c r="BQ2" s="61" t="s">
        <v>110</v>
      </c>
      <c r="BR2" s="61" t="s">
        <v>260</v>
      </c>
      <c r="BS2" s="61" t="s">
        <v>261</v>
      </c>
      <c r="BT2" s="61" t="s">
        <v>262</v>
      </c>
      <c r="BU2" s="61" t="s">
        <v>263</v>
      </c>
      <c r="BV2" s="61" t="s">
        <v>264</v>
      </c>
      <c r="BW2" s="61" t="s">
        <v>265</v>
      </c>
      <c r="BX2" s="61" t="s">
        <v>266</v>
      </c>
      <c r="BY2" s="61" t="s">
        <v>267</v>
      </c>
      <c r="BZ2" s="61" t="s">
        <v>268</v>
      </c>
      <c r="CA2" s="61" t="s">
        <v>269</v>
      </c>
      <c r="CB2" s="61" t="s">
        <v>270</v>
      </c>
      <c r="CC2" s="61" t="s">
        <v>271</v>
      </c>
      <c r="CD2" s="61" t="s">
        <v>272</v>
      </c>
      <c r="CE2" s="61" t="s">
        <v>273</v>
      </c>
      <c r="CF2" s="61" t="s">
        <v>274</v>
      </c>
      <c r="CG2" s="61" t="s">
        <v>275</v>
      </c>
      <c r="CH2" s="61" t="s">
        <v>111</v>
      </c>
      <c r="CI2" s="61" t="s">
        <v>278</v>
      </c>
      <c r="CJ2" s="61" t="s">
        <v>279</v>
      </c>
      <c r="CK2" s="61" t="s">
        <v>277</v>
      </c>
      <c r="CL2" s="61" t="s">
        <v>280</v>
      </c>
      <c r="CM2" s="61" t="s">
        <v>281</v>
      </c>
      <c r="CN2" s="61" t="s">
        <v>282</v>
      </c>
      <c r="CO2" s="61" t="s">
        <v>283</v>
      </c>
      <c r="CP2" s="61" t="s">
        <v>284</v>
      </c>
      <c r="CQ2" s="61" t="s">
        <v>285</v>
      </c>
      <c r="CR2" s="61" t="s">
        <v>286</v>
      </c>
      <c r="CS2" s="61" t="s">
        <v>287</v>
      </c>
      <c r="CT2" s="61" t="s">
        <v>288</v>
      </c>
      <c r="CU2" s="61" t="s">
        <v>289</v>
      </c>
      <c r="CV2" s="61" t="s">
        <v>290</v>
      </c>
      <c r="CW2" s="61" t="s">
        <v>291</v>
      </c>
      <c r="CX2" s="61" t="s">
        <v>292</v>
      </c>
      <c r="CY2" s="61" t="s">
        <v>293</v>
      </c>
      <c r="CZ2" s="61" t="s">
        <v>294</v>
      </c>
      <c r="DA2" s="61" t="s">
        <v>295</v>
      </c>
      <c r="DB2" s="61" t="s">
        <v>296</v>
      </c>
      <c r="DC2" s="61" t="s">
        <v>297</v>
      </c>
      <c r="DD2" s="61" t="s">
        <v>298</v>
      </c>
      <c r="DE2" s="61" t="s">
        <v>299</v>
      </c>
      <c r="DF2" s="61" t="s">
        <v>300</v>
      </c>
      <c r="DG2" s="61" t="s">
        <v>301</v>
      </c>
      <c r="DH2" s="61" t="s">
        <v>302</v>
      </c>
      <c r="DI2" s="61" t="s">
        <v>303</v>
      </c>
      <c r="DJ2" s="61" t="s">
        <v>304</v>
      </c>
      <c r="DK2" s="61" t="s">
        <v>305</v>
      </c>
      <c r="DL2" s="61" t="s">
        <v>306</v>
      </c>
      <c r="DM2" s="63" t="s">
        <v>112</v>
      </c>
    </row>
    <row r="3" spans="1:117" s="60" customFormat="1" ht="15">
      <c r="A3" s="81">
        <v>1503</v>
      </c>
      <c r="B3" s="81" t="s">
        <v>113</v>
      </c>
      <c r="C3" s="81">
        <v>11</v>
      </c>
      <c r="D3" s="81" t="s">
        <v>1</v>
      </c>
      <c r="E3" s="81"/>
      <c r="F3" s="55">
        <v>90</v>
      </c>
      <c r="G3" s="55">
        <f>'Tabulka-detailní přehled '!$I3+'Tabulka-detailní přehled '!$F3</f>
        <v>90</v>
      </c>
      <c r="H3" s="81"/>
      <c r="I3" s="81"/>
      <c r="J3" s="81"/>
      <c r="K3" s="81"/>
      <c r="L3" s="81"/>
      <c r="M3" s="81"/>
      <c r="N3" s="81"/>
      <c r="O3" s="56">
        <f aca="true" t="shared" si="0" ref="O3:O66">F3+I3-N3</f>
        <v>90</v>
      </c>
      <c r="P3" s="81" t="s">
        <v>114</v>
      </c>
      <c r="Q3" s="81"/>
      <c r="R3" s="81"/>
      <c r="S3" s="81"/>
      <c r="T3" s="81"/>
      <c r="U3" s="81"/>
      <c r="V3" s="81">
        <v>26.7</v>
      </c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>
        <v>1</v>
      </c>
      <c r="BG3" s="81"/>
      <c r="BH3" s="81"/>
      <c r="BI3" s="81"/>
      <c r="BJ3" s="81"/>
      <c r="BK3" s="81"/>
      <c r="BL3" s="81"/>
      <c r="BM3" s="81"/>
      <c r="BN3" s="81"/>
      <c r="BO3" s="81"/>
      <c r="BP3" s="81">
        <v>3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>
        <v>18</v>
      </c>
      <c r="CC3" s="81">
        <v>6</v>
      </c>
      <c r="CD3" s="81"/>
      <c r="CE3" s="81"/>
      <c r="CF3" s="81"/>
      <c r="CG3" s="81"/>
      <c r="CH3" s="81"/>
      <c r="CI3" s="81"/>
      <c r="CJ3" s="81"/>
      <c r="CT3" s="60">
        <v>1</v>
      </c>
      <c r="CU3" s="60">
        <v>2</v>
      </c>
      <c r="DM3" s="57" t="s">
        <v>115</v>
      </c>
    </row>
    <row r="4" spans="1:117" s="60" customFormat="1" ht="15">
      <c r="A4" s="81">
        <v>1507</v>
      </c>
      <c r="B4" s="81" t="s">
        <v>247</v>
      </c>
      <c r="C4" s="81">
        <v>11</v>
      </c>
      <c r="D4" s="81" t="s">
        <v>1</v>
      </c>
      <c r="E4" s="81"/>
      <c r="F4" s="55">
        <v>1.4</v>
      </c>
      <c r="G4" s="55">
        <f>'Tabulka-detailní přehled '!$I4+'Tabulka-detailní přehled '!$F4</f>
        <v>1.4</v>
      </c>
      <c r="H4" s="81"/>
      <c r="I4" s="81"/>
      <c r="J4" s="81"/>
      <c r="K4" s="81"/>
      <c r="L4" s="81"/>
      <c r="M4" s="81"/>
      <c r="N4" s="81"/>
      <c r="O4" s="56">
        <f t="shared" si="0"/>
        <v>1.4</v>
      </c>
      <c r="P4" s="81" t="s">
        <v>120</v>
      </c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>
        <v>2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DM4" s="57"/>
    </row>
    <row r="5" spans="1:117" s="60" customFormat="1" ht="15">
      <c r="A5" s="81">
        <v>1508</v>
      </c>
      <c r="B5" s="81" t="s">
        <v>247</v>
      </c>
      <c r="C5" s="81">
        <v>11</v>
      </c>
      <c r="D5" s="81" t="s">
        <v>1</v>
      </c>
      <c r="E5" s="81"/>
      <c r="F5" s="55">
        <v>1.4</v>
      </c>
      <c r="G5" s="55">
        <f>'Tabulka-detailní přehled '!$I5+'Tabulka-detailní přehled '!$F5</f>
        <v>1.4</v>
      </c>
      <c r="H5" s="81"/>
      <c r="I5" s="81"/>
      <c r="J5" s="81"/>
      <c r="K5" s="81"/>
      <c r="L5" s="81"/>
      <c r="M5" s="81"/>
      <c r="N5" s="81"/>
      <c r="O5" s="56">
        <f t="shared" si="0"/>
        <v>1.4</v>
      </c>
      <c r="P5" s="81" t="s">
        <v>120</v>
      </c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>
        <v>2</v>
      </c>
      <c r="CB5" s="81"/>
      <c r="CC5" s="81"/>
      <c r="CD5" s="81"/>
      <c r="CE5" s="81"/>
      <c r="CF5" s="81"/>
      <c r="CG5" s="81"/>
      <c r="CH5" s="81"/>
      <c r="CI5" s="81"/>
      <c r="CJ5" s="81"/>
      <c r="DM5" s="57"/>
    </row>
    <row r="6" spans="1:117" s="60" customFormat="1" ht="15">
      <c r="A6" s="81">
        <v>1601</v>
      </c>
      <c r="B6" s="81" t="s">
        <v>116</v>
      </c>
      <c r="C6" s="81">
        <v>11</v>
      </c>
      <c r="D6" s="81" t="s">
        <v>1</v>
      </c>
      <c r="E6" s="81"/>
      <c r="F6" s="55">
        <v>18</v>
      </c>
      <c r="G6" s="55">
        <f>'Tabulka-detailní přehled '!$I6+'Tabulka-detailní přehled '!$F6</f>
        <v>18</v>
      </c>
      <c r="H6" s="81"/>
      <c r="I6" s="81"/>
      <c r="J6" s="81"/>
      <c r="K6" s="81"/>
      <c r="L6" s="81"/>
      <c r="M6" s="81"/>
      <c r="N6" s="81"/>
      <c r="O6" s="56">
        <f t="shared" si="0"/>
        <v>18</v>
      </c>
      <c r="P6" s="81" t="s">
        <v>114</v>
      </c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>
        <v>1</v>
      </c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>
        <v>1</v>
      </c>
      <c r="CC6" s="81"/>
      <c r="CD6" s="81"/>
      <c r="CE6" s="81"/>
      <c r="CF6" s="81"/>
      <c r="CG6" s="81"/>
      <c r="CH6" s="81"/>
      <c r="CI6" s="81"/>
      <c r="CJ6" s="81"/>
      <c r="DI6" s="60">
        <v>1</v>
      </c>
      <c r="DM6" s="57"/>
    </row>
    <row r="7" spans="1:117" s="60" customFormat="1" ht="15">
      <c r="A7" s="81">
        <v>1602</v>
      </c>
      <c r="B7" s="81" t="s">
        <v>116</v>
      </c>
      <c r="C7" s="81">
        <v>21</v>
      </c>
      <c r="D7" s="81" t="s">
        <v>1</v>
      </c>
      <c r="E7" s="81" t="s">
        <v>193</v>
      </c>
      <c r="F7" s="55">
        <f>2*1.75+2*2+2*3.87+2*2+2*1.75</f>
        <v>22.740000000000002</v>
      </c>
      <c r="G7" s="55">
        <f>'Tabulka-detailní přehled '!$I7+'Tabulka-detailní přehled '!$F7</f>
        <v>22.740000000000002</v>
      </c>
      <c r="H7" s="81"/>
      <c r="I7" s="81"/>
      <c r="J7" s="81"/>
      <c r="K7" s="81"/>
      <c r="L7" s="81"/>
      <c r="M7" s="81"/>
      <c r="N7" s="81">
        <f>(K7*0.376)+(L7*0.48)+M7</f>
        <v>0</v>
      </c>
      <c r="O7" s="56">
        <f t="shared" si="0"/>
        <v>22.740000000000002</v>
      </c>
      <c r="P7" s="81" t="s">
        <v>114</v>
      </c>
      <c r="Q7" s="81"/>
      <c r="R7" s="81"/>
      <c r="S7" s="81"/>
      <c r="T7" s="81"/>
      <c r="U7" s="81"/>
      <c r="V7" s="81">
        <v>16</v>
      </c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>
        <v>1</v>
      </c>
      <c r="CC7" s="81"/>
      <c r="CD7" s="81"/>
      <c r="CE7" s="81"/>
      <c r="CF7" s="81"/>
      <c r="CG7" s="81"/>
      <c r="CH7" s="81"/>
      <c r="CI7" s="81"/>
      <c r="CJ7" s="81"/>
      <c r="DM7" s="57" t="s">
        <v>194</v>
      </c>
    </row>
    <row r="8" spans="1:117" s="60" customFormat="1" ht="15">
      <c r="A8" s="81">
        <v>1603</v>
      </c>
      <c r="B8" s="81" t="s">
        <v>116</v>
      </c>
      <c r="C8" s="81">
        <v>11</v>
      </c>
      <c r="D8" s="81" t="s">
        <v>1</v>
      </c>
      <c r="E8" s="81"/>
      <c r="F8" s="55">
        <v>14.2</v>
      </c>
      <c r="G8" s="55">
        <f>'Tabulka-detailní přehled '!$I8+'Tabulka-detailní přehled '!$F8</f>
        <v>14.2</v>
      </c>
      <c r="H8" s="81"/>
      <c r="I8" s="81"/>
      <c r="J8" s="81"/>
      <c r="K8" s="81"/>
      <c r="L8" s="81"/>
      <c r="M8" s="81"/>
      <c r="N8" s="81"/>
      <c r="O8" s="56">
        <f t="shared" si="0"/>
        <v>14.2</v>
      </c>
      <c r="P8" s="81" t="s">
        <v>114</v>
      </c>
      <c r="Q8" s="81"/>
      <c r="R8" s="81"/>
      <c r="S8" s="81"/>
      <c r="T8" s="81"/>
      <c r="U8" s="81"/>
      <c r="V8" s="81">
        <v>15.9</v>
      </c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>
        <v>6</v>
      </c>
      <c r="BO8" s="81">
        <v>1</v>
      </c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>
        <v>1</v>
      </c>
      <c r="CC8" s="81"/>
      <c r="CD8" s="81"/>
      <c r="CE8" s="81"/>
      <c r="CF8" s="81"/>
      <c r="CG8" s="81"/>
      <c r="CH8" s="81"/>
      <c r="CI8" s="81"/>
      <c r="CJ8" s="81"/>
      <c r="DM8" s="57" t="s">
        <v>115</v>
      </c>
    </row>
    <row r="9" spans="1:117" s="60" customFormat="1" ht="15">
      <c r="A9" s="81">
        <v>2010</v>
      </c>
      <c r="B9" s="81" t="s">
        <v>117</v>
      </c>
      <c r="C9" s="81">
        <v>21</v>
      </c>
      <c r="D9" s="81" t="s">
        <v>1</v>
      </c>
      <c r="E9" s="81" t="s">
        <v>118</v>
      </c>
      <c r="F9" s="55">
        <v>12.9</v>
      </c>
      <c r="G9" s="55">
        <f>'Tabulka-detailní přehled '!$I9+'Tabulka-detailní přehled '!$F9</f>
        <v>12.9</v>
      </c>
      <c r="H9" s="81"/>
      <c r="I9" s="81"/>
      <c r="J9" s="81" t="s">
        <v>119</v>
      </c>
      <c r="K9" s="81"/>
      <c r="L9" s="81"/>
      <c r="M9" s="81">
        <v>1.7</v>
      </c>
      <c r="N9" s="81">
        <f aca="true" t="shared" si="1" ref="N9:N55">(K9*0.376)+(L9*0.48)+M9</f>
        <v>1.7</v>
      </c>
      <c r="O9" s="55">
        <f t="shared" si="0"/>
        <v>11.200000000000001</v>
      </c>
      <c r="P9" s="81" t="s">
        <v>120</v>
      </c>
      <c r="Q9" s="81"/>
      <c r="R9" s="81">
        <v>1</v>
      </c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>
        <v>3</v>
      </c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>
        <v>1</v>
      </c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>
        <v>1</v>
      </c>
      <c r="CC9" s="81"/>
      <c r="CD9" s="81"/>
      <c r="CE9" s="81"/>
      <c r="CF9" s="81"/>
      <c r="CG9" s="81"/>
      <c r="CH9" s="81"/>
      <c r="CI9" s="81"/>
      <c r="CJ9" s="81"/>
      <c r="CR9" s="60">
        <v>1</v>
      </c>
      <c r="DM9" s="58"/>
    </row>
    <row r="10" spans="1:117" s="60" customFormat="1" ht="15">
      <c r="A10" s="81">
        <v>2020</v>
      </c>
      <c r="B10" s="81" t="s">
        <v>121</v>
      </c>
      <c r="C10" s="81">
        <v>21</v>
      </c>
      <c r="D10" s="81" t="s">
        <v>1</v>
      </c>
      <c r="E10" s="81" t="s">
        <v>122</v>
      </c>
      <c r="F10" s="55">
        <v>28.7</v>
      </c>
      <c r="G10" s="55">
        <f>'Tabulka-detailní přehled '!$I10+'Tabulka-detailní přehled '!$F10</f>
        <v>28.7</v>
      </c>
      <c r="H10" s="81"/>
      <c r="I10" s="81"/>
      <c r="J10" s="81"/>
      <c r="K10" s="81"/>
      <c r="L10" s="81"/>
      <c r="M10" s="81"/>
      <c r="N10" s="81">
        <f t="shared" si="1"/>
        <v>0</v>
      </c>
      <c r="O10" s="55">
        <f t="shared" si="0"/>
        <v>28.7</v>
      </c>
      <c r="P10" s="81" t="s">
        <v>123</v>
      </c>
      <c r="Q10" s="81">
        <v>2</v>
      </c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>
        <v>2</v>
      </c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>
        <v>14</v>
      </c>
      <c r="CC10" s="81"/>
      <c r="CD10" s="81"/>
      <c r="CE10" s="81"/>
      <c r="CF10" s="81"/>
      <c r="CG10" s="81"/>
      <c r="CH10" s="81"/>
      <c r="CI10" s="81"/>
      <c r="CJ10" s="81"/>
      <c r="CM10" s="60">
        <v>2</v>
      </c>
      <c r="DM10" s="59"/>
    </row>
    <row r="11" spans="1:117" s="60" customFormat="1" ht="15">
      <c r="A11" s="81">
        <v>2030</v>
      </c>
      <c r="B11" s="81" t="s">
        <v>124</v>
      </c>
      <c r="C11" s="81">
        <v>21</v>
      </c>
      <c r="D11" s="81" t="s">
        <v>1</v>
      </c>
      <c r="E11" s="81" t="s">
        <v>125</v>
      </c>
      <c r="F11" s="55">
        <v>24.5</v>
      </c>
      <c r="G11" s="55">
        <f>'Tabulka-detailní přehled '!$I11+'Tabulka-detailní přehled '!$F11</f>
        <v>24.9</v>
      </c>
      <c r="H11" s="81" t="s">
        <v>126</v>
      </c>
      <c r="I11" s="81">
        <v>0.4</v>
      </c>
      <c r="J11" s="81" t="s">
        <v>127</v>
      </c>
      <c r="K11" s="81">
        <v>6</v>
      </c>
      <c r="L11" s="81"/>
      <c r="M11" s="81"/>
      <c r="N11" s="81">
        <f t="shared" si="1"/>
        <v>2.2560000000000002</v>
      </c>
      <c r="O11" s="55">
        <f t="shared" si="0"/>
        <v>22.644</v>
      </c>
      <c r="P11" s="81" t="s">
        <v>123</v>
      </c>
      <c r="Q11" s="81">
        <v>2</v>
      </c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>
        <v>2</v>
      </c>
      <c r="AF11" s="81"/>
      <c r="AG11" s="81"/>
      <c r="AH11" s="81"/>
      <c r="AI11" s="81"/>
      <c r="AJ11" s="81"/>
      <c r="AK11" s="81"/>
      <c r="AL11" s="81"/>
      <c r="AM11" s="81"/>
      <c r="AN11" s="81"/>
      <c r="AO11" s="81">
        <v>2</v>
      </c>
      <c r="AP11" s="81">
        <v>1</v>
      </c>
      <c r="AQ11" s="81"/>
      <c r="AR11" s="81"/>
      <c r="AS11" s="81" t="s">
        <v>128</v>
      </c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>
        <v>9</v>
      </c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>
        <v>1</v>
      </c>
      <c r="CI11" s="81"/>
      <c r="CJ11" s="81"/>
      <c r="CM11" s="60">
        <v>2</v>
      </c>
      <c r="DM11" s="59"/>
    </row>
    <row r="12" spans="1:117" s="60" customFormat="1" ht="15">
      <c r="A12" s="81">
        <v>2040</v>
      </c>
      <c r="B12" s="81" t="s">
        <v>129</v>
      </c>
      <c r="C12" s="81">
        <v>21</v>
      </c>
      <c r="D12" s="81" t="s">
        <v>1</v>
      </c>
      <c r="E12" s="81" t="s">
        <v>130</v>
      </c>
      <c r="F12" s="55">
        <v>26.4</v>
      </c>
      <c r="G12" s="55">
        <f>'Tabulka-detailní přehled '!$I12+'Tabulka-detailní přehled '!$F12</f>
        <v>26.799999999999997</v>
      </c>
      <c r="H12" s="81" t="s">
        <v>126</v>
      </c>
      <c r="I12" s="81">
        <v>0.4</v>
      </c>
      <c r="J12" s="81" t="s">
        <v>127</v>
      </c>
      <c r="K12" s="81">
        <v>3</v>
      </c>
      <c r="L12" s="81"/>
      <c r="M12" s="81"/>
      <c r="N12" s="81">
        <f t="shared" si="1"/>
        <v>1.1280000000000001</v>
      </c>
      <c r="O12" s="55">
        <f t="shared" si="0"/>
        <v>25.671999999999997</v>
      </c>
      <c r="P12" s="81" t="s">
        <v>123</v>
      </c>
      <c r="Q12" s="81">
        <v>2</v>
      </c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>
        <v>2</v>
      </c>
      <c r="AH12" s="81"/>
      <c r="AI12" s="81"/>
      <c r="AJ12" s="81"/>
      <c r="AK12" s="81"/>
      <c r="AL12" s="81"/>
      <c r="AM12" s="81"/>
      <c r="AN12" s="81"/>
      <c r="AO12" s="81"/>
      <c r="AP12" s="81">
        <v>1</v>
      </c>
      <c r="AQ12" s="81"/>
      <c r="AR12" s="81"/>
      <c r="AS12" s="81"/>
      <c r="AT12" s="81"/>
      <c r="AU12" s="81"/>
      <c r="AV12" s="81">
        <v>1</v>
      </c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>
        <v>15</v>
      </c>
      <c r="CC12" s="81"/>
      <c r="CD12" s="81"/>
      <c r="CE12" s="81"/>
      <c r="CF12" s="81"/>
      <c r="CG12" s="81"/>
      <c r="CH12" s="81"/>
      <c r="CI12" s="81"/>
      <c r="CJ12" s="81"/>
      <c r="CM12" s="60">
        <v>2</v>
      </c>
      <c r="DM12" s="58"/>
    </row>
    <row r="13" spans="1:117" s="60" customFormat="1" ht="15">
      <c r="A13" s="81">
        <v>2050</v>
      </c>
      <c r="B13" s="81" t="s">
        <v>131</v>
      </c>
      <c r="C13" s="81">
        <v>21</v>
      </c>
      <c r="D13" s="81" t="s">
        <v>1</v>
      </c>
      <c r="E13" s="81" t="s">
        <v>132</v>
      </c>
      <c r="F13" s="55">
        <v>14.4</v>
      </c>
      <c r="G13" s="55">
        <f>'Tabulka-detailní přehled '!$I13+'Tabulka-detailní přehled '!$F13</f>
        <v>14.8</v>
      </c>
      <c r="H13" s="81" t="s">
        <v>126</v>
      </c>
      <c r="I13" s="81">
        <v>0.4</v>
      </c>
      <c r="J13" s="81" t="s">
        <v>127</v>
      </c>
      <c r="K13" s="81">
        <v>3</v>
      </c>
      <c r="L13" s="81">
        <v>1</v>
      </c>
      <c r="M13" s="81"/>
      <c r="N13" s="81">
        <f t="shared" si="1"/>
        <v>1.608</v>
      </c>
      <c r="O13" s="55">
        <f t="shared" si="0"/>
        <v>13.192</v>
      </c>
      <c r="P13" s="81" t="s">
        <v>123</v>
      </c>
      <c r="Q13" s="81"/>
      <c r="R13" s="81">
        <v>1</v>
      </c>
      <c r="S13" s="81"/>
      <c r="T13" s="81"/>
      <c r="U13" s="81" t="s">
        <v>128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>
        <v>3</v>
      </c>
      <c r="AL13" s="81"/>
      <c r="AM13" s="81"/>
      <c r="AN13" s="81"/>
      <c r="AO13" s="81"/>
      <c r="AP13" s="81"/>
      <c r="AQ13" s="81">
        <v>1</v>
      </c>
      <c r="AR13" s="81"/>
      <c r="AS13" s="81"/>
      <c r="AT13" s="81"/>
      <c r="AU13" s="81"/>
      <c r="AV13" s="81">
        <v>1</v>
      </c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>
        <v>2</v>
      </c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L13" s="60">
        <v>1</v>
      </c>
      <c r="DM13" s="59"/>
    </row>
    <row r="14" spans="1:117" s="60" customFormat="1" ht="15">
      <c r="A14" s="81">
        <v>2060</v>
      </c>
      <c r="B14" s="81" t="s">
        <v>131</v>
      </c>
      <c r="C14" s="81">
        <v>21</v>
      </c>
      <c r="D14" s="81" t="s">
        <v>1</v>
      </c>
      <c r="E14" s="81" t="s">
        <v>133</v>
      </c>
      <c r="F14" s="55">
        <v>13.2</v>
      </c>
      <c r="G14" s="55">
        <f>'Tabulka-detailní přehled '!$I14+'Tabulka-detailní přehled '!$F14</f>
        <v>13.6</v>
      </c>
      <c r="H14" s="81" t="s">
        <v>126</v>
      </c>
      <c r="I14" s="81">
        <v>0.4</v>
      </c>
      <c r="J14" s="81" t="s">
        <v>127</v>
      </c>
      <c r="K14" s="81">
        <v>6</v>
      </c>
      <c r="L14" s="81"/>
      <c r="M14" s="81"/>
      <c r="N14" s="81">
        <f t="shared" si="1"/>
        <v>2.2560000000000002</v>
      </c>
      <c r="O14" s="55">
        <f t="shared" si="0"/>
        <v>11.344</v>
      </c>
      <c r="P14" s="81" t="s">
        <v>123</v>
      </c>
      <c r="Q14" s="81"/>
      <c r="R14" s="81">
        <v>1</v>
      </c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>
        <v>3</v>
      </c>
      <c r="AL14" s="81"/>
      <c r="AM14" s="81"/>
      <c r="AN14" s="81"/>
      <c r="AO14" s="81"/>
      <c r="AP14" s="81"/>
      <c r="AQ14" s="81">
        <v>1</v>
      </c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>
        <v>2</v>
      </c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L14" s="60">
        <v>1</v>
      </c>
      <c r="DM14" s="59"/>
    </row>
    <row r="15" spans="1:117" s="60" customFormat="1" ht="15">
      <c r="A15" s="81">
        <v>2070</v>
      </c>
      <c r="B15" s="81" t="s">
        <v>131</v>
      </c>
      <c r="C15" s="81">
        <v>21</v>
      </c>
      <c r="D15" s="81" t="s">
        <v>1</v>
      </c>
      <c r="E15" s="81" t="s">
        <v>134</v>
      </c>
      <c r="F15" s="55">
        <v>13.2</v>
      </c>
      <c r="G15" s="55">
        <f>'Tabulka-detailní přehled '!$I15+'Tabulka-detailní přehled '!$F15</f>
        <v>13.6</v>
      </c>
      <c r="H15" s="81" t="s">
        <v>126</v>
      </c>
      <c r="I15" s="81">
        <v>0.4</v>
      </c>
      <c r="J15" s="81" t="s">
        <v>127</v>
      </c>
      <c r="K15" s="81">
        <v>5</v>
      </c>
      <c r="L15" s="81"/>
      <c r="M15" s="81"/>
      <c r="N15" s="81">
        <f t="shared" si="1"/>
        <v>1.88</v>
      </c>
      <c r="O15" s="55">
        <f t="shared" si="0"/>
        <v>11.719999999999999</v>
      </c>
      <c r="P15" s="81" t="s">
        <v>123</v>
      </c>
      <c r="Q15" s="81"/>
      <c r="R15" s="81">
        <v>1</v>
      </c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>
        <v>3</v>
      </c>
      <c r="AL15" s="81"/>
      <c r="AM15" s="81"/>
      <c r="AN15" s="81"/>
      <c r="AO15" s="81"/>
      <c r="AP15" s="81"/>
      <c r="AQ15" s="81">
        <v>1</v>
      </c>
      <c r="AR15" s="81"/>
      <c r="AS15" s="81"/>
      <c r="AT15" s="81"/>
      <c r="AU15" s="81"/>
      <c r="AV15" s="81">
        <v>1</v>
      </c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>
        <v>1</v>
      </c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L15" s="60">
        <v>1</v>
      </c>
      <c r="DM15" s="59"/>
    </row>
    <row r="16" spans="1:117" s="60" customFormat="1" ht="15">
      <c r="A16" s="81">
        <v>2080</v>
      </c>
      <c r="B16" s="81" t="s">
        <v>131</v>
      </c>
      <c r="C16" s="81">
        <v>21</v>
      </c>
      <c r="D16" s="81" t="s">
        <v>1</v>
      </c>
      <c r="E16" s="81" t="s">
        <v>135</v>
      </c>
      <c r="F16" s="55">
        <v>13.5</v>
      </c>
      <c r="G16" s="55">
        <f>'Tabulka-detailní přehled '!$I16+'Tabulka-detailní přehled '!$F16</f>
        <v>13.9</v>
      </c>
      <c r="H16" s="81" t="s">
        <v>126</v>
      </c>
      <c r="I16" s="81">
        <v>0.4</v>
      </c>
      <c r="J16" s="81" t="s">
        <v>127</v>
      </c>
      <c r="K16" s="81">
        <v>5</v>
      </c>
      <c r="L16" s="81"/>
      <c r="M16" s="81"/>
      <c r="N16" s="81">
        <f t="shared" si="1"/>
        <v>1.88</v>
      </c>
      <c r="O16" s="55">
        <f t="shared" si="0"/>
        <v>12.02</v>
      </c>
      <c r="P16" s="81" t="s">
        <v>123</v>
      </c>
      <c r="Q16" s="81"/>
      <c r="R16" s="81">
        <v>1</v>
      </c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>
        <v>3</v>
      </c>
      <c r="AL16" s="81"/>
      <c r="AM16" s="81"/>
      <c r="AN16" s="81"/>
      <c r="AO16" s="81"/>
      <c r="AP16" s="81"/>
      <c r="AQ16" s="81">
        <v>1</v>
      </c>
      <c r="AR16" s="81"/>
      <c r="AS16" s="81"/>
      <c r="AT16" s="81"/>
      <c r="AU16" s="81"/>
      <c r="AV16" s="81">
        <v>1</v>
      </c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>
        <v>1</v>
      </c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L16" s="60">
        <v>1</v>
      </c>
      <c r="DM16" s="59"/>
    </row>
    <row r="17" spans="1:117" ht="15">
      <c r="A17" s="81">
        <v>2090</v>
      </c>
      <c r="B17" s="81" t="s">
        <v>131</v>
      </c>
      <c r="C17" s="81">
        <v>21</v>
      </c>
      <c r="D17" s="81" t="s">
        <v>1</v>
      </c>
      <c r="E17" s="81" t="s">
        <v>136</v>
      </c>
      <c r="F17" s="55">
        <v>14.7</v>
      </c>
      <c r="G17" s="55">
        <f>'Tabulka-detailní přehled '!$I17+'Tabulka-detailní přehled '!$F17</f>
        <v>15.1</v>
      </c>
      <c r="H17" s="81" t="s">
        <v>126</v>
      </c>
      <c r="I17" s="81">
        <v>0.4</v>
      </c>
      <c r="N17" s="81">
        <f t="shared" si="1"/>
        <v>0</v>
      </c>
      <c r="O17" s="55">
        <f t="shared" si="0"/>
        <v>15.1</v>
      </c>
      <c r="P17" s="81" t="s">
        <v>123</v>
      </c>
      <c r="R17" s="81">
        <v>1</v>
      </c>
      <c r="AK17" s="81">
        <v>3</v>
      </c>
      <c r="AQ17" s="81">
        <v>1</v>
      </c>
      <c r="BT17" s="81">
        <v>1</v>
      </c>
      <c r="CK17" s="60"/>
      <c r="CL17" s="81">
        <v>1</v>
      </c>
      <c r="DM17" s="59"/>
    </row>
    <row r="18" spans="1:117" ht="15">
      <c r="A18" s="81">
        <v>2100</v>
      </c>
      <c r="B18" s="81" t="s">
        <v>131</v>
      </c>
      <c r="C18" s="81">
        <v>21</v>
      </c>
      <c r="D18" s="81" t="s">
        <v>1</v>
      </c>
      <c r="E18" s="81" t="s">
        <v>137</v>
      </c>
      <c r="F18" s="55">
        <f>5*3.15</f>
        <v>15.75</v>
      </c>
      <c r="G18" s="55">
        <f>'Tabulka-detailní přehled '!$I18+'Tabulka-detailní přehled '!$F18</f>
        <v>16.15</v>
      </c>
      <c r="H18" s="81" t="s">
        <v>126</v>
      </c>
      <c r="I18" s="81">
        <v>0.4</v>
      </c>
      <c r="N18" s="81">
        <f t="shared" si="1"/>
        <v>0</v>
      </c>
      <c r="O18" s="55">
        <f t="shared" si="0"/>
        <v>16.15</v>
      </c>
      <c r="P18" s="81" t="s">
        <v>123</v>
      </c>
      <c r="R18" s="81">
        <v>1</v>
      </c>
      <c r="AK18" s="81">
        <v>3</v>
      </c>
      <c r="AQ18" s="81">
        <v>1</v>
      </c>
      <c r="AV18" s="81">
        <v>1</v>
      </c>
      <c r="BT18" s="81">
        <v>1</v>
      </c>
      <c r="CK18" s="81"/>
      <c r="CL18" s="81">
        <v>1</v>
      </c>
      <c r="DM18" s="59"/>
    </row>
    <row r="19" spans="1:117" ht="15">
      <c r="A19" s="81">
        <v>2110</v>
      </c>
      <c r="B19" s="81" t="s">
        <v>139</v>
      </c>
      <c r="C19" s="81">
        <v>21</v>
      </c>
      <c r="D19" s="81" t="s">
        <v>2</v>
      </c>
      <c r="E19" s="81" t="s">
        <v>138</v>
      </c>
      <c r="F19" s="55">
        <f>5*2.1</f>
        <v>10.5</v>
      </c>
      <c r="G19" s="55">
        <f>'Tabulka-detailní přehled '!$I19+'Tabulka-detailní přehled '!$F19</f>
        <v>10.5</v>
      </c>
      <c r="N19" s="81">
        <f t="shared" si="1"/>
        <v>0</v>
      </c>
      <c r="O19" s="55">
        <f t="shared" si="0"/>
        <v>10.5</v>
      </c>
      <c r="P19" s="81" t="s">
        <v>120</v>
      </c>
      <c r="R19" s="81">
        <v>1</v>
      </c>
      <c r="AK19" s="81">
        <v>3</v>
      </c>
      <c r="BT19" s="81">
        <v>1</v>
      </c>
      <c r="CK19" s="81"/>
      <c r="DL19" s="81">
        <v>1</v>
      </c>
      <c r="DM19" s="59"/>
    </row>
    <row r="20" spans="1:117" ht="15">
      <c r="A20" s="81">
        <v>2120</v>
      </c>
      <c r="B20" s="81" t="s">
        <v>139</v>
      </c>
      <c r="C20" s="81">
        <v>21</v>
      </c>
      <c r="D20" s="81" t="s">
        <v>2</v>
      </c>
      <c r="E20" s="81" t="s">
        <v>140</v>
      </c>
      <c r="F20" s="55">
        <v>13.4</v>
      </c>
      <c r="G20" s="55">
        <f>'Tabulka-detailní přehled '!$I20+'Tabulka-detailní přehled '!$F20</f>
        <v>13.4</v>
      </c>
      <c r="J20" s="81" t="s">
        <v>127</v>
      </c>
      <c r="K20" s="81">
        <v>3</v>
      </c>
      <c r="N20" s="81">
        <f t="shared" si="1"/>
        <v>1.1280000000000001</v>
      </c>
      <c r="O20" s="55">
        <f t="shared" si="0"/>
        <v>12.272</v>
      </c>
      <c r="P20" s="81" t="s">
        <v>120</v>
      </c>
      <c r="R20" s="81">
        <v>1</v>
      </c>
      <c r="AK20" s="81">
        <v>3</v>
      </c>
      <c r="AR20" s="81">
        <v>1</v>
      </c>
      <c r="BS20" s="81">
        <v>1</v>
      </c>
      <c r="CK20" s="81"/>
      <c r="CL20" s="81">
        <v>1</v>
      </c>
      <c r="DM20" s="59"/>
    </row>
    <row r="21" spans="1:117" ht="15">
      <c r="A21" s="81">
        <v>2130</v>
      </c>
      <c r="B21" s="81" t="s">
        <v>131</v>
      </c>
      <c r="C21" s="81">
        <v>21</v>
      </c>
      <c r="D21" s="81" t="s">
        <v>1</v>
      </c>
      <c r="E21" s="81" t="s">
        <v>141</v>
      </c>
      <c r="F21" s="55">
        <v>13.2</v>
      </c>
      <c r="G21" s="55">
        <f>'Tabulka-detailní přehled '!$I21+'Tabulka-detailní přehled '!$F21</f>
        <v>13.6</v>
      </c>
      <c r="H21" s="81" t="s">
        <v>126</v>
      </c>
      <c r="I21" s="81">
        <v>0.4</v>
      </c>
      <c r="J21" s="81" t="s">
        <v>127</v>
      </c>
      <c r="K21" s="81">
        <v>3</v>
      </c>
      <c r="L21" s="81">
        <v>1</v>
      </c>
      <c r="N21" s="81">
        <f t="shared" si="1"/>
        <v>1.608</v>
      </c>
      <c r="O21" s="55">
        <f t="shared" si="0"/>
        <v>11.991999999999999</v>
      </c>
      <c r="P21" s="81" t="s">
        <v>123</v>
      </c>
      <c r="R21" s="81">
        <v>1</v>
      </c>
      <c r="AK21" s="81">
        <v>3</v>
      </c>
      <c r="AP21" s="81">
        <v>1</v>
      </c>
      <c r="BS21" s="81">
        <v>2</v>
      </c>
      <c r="CK21" s="81"/>
      <c r="CS21" s="81">
        <v>1</v>
      </c>
      <c r="DM21" s="59"/>
    </row>
    <row r="22" spans="1:117" ht="15">
      <c r="A22" s="81">
        <v>2140</v>
      </c>
      <c r="B22" s="81" t="s">
        <v>131</v>
      </c>
      <c r="C22" s="81">
        <v>21</v>
      </c>
      <c r="D22" s="81" t="s">
        <v>1</v>
      </c>
      <c r="E22" s="81" t="s">
        <v>142</v>
      </c>
      <c r="F22" s="55">
        <v>14</v>
      </c>
      <c r="G22" s="55">
        <f>'Tabulka-detailní přehled '!$I22+'Tabulka-detailní přehled '!$F22</f>
        <v>15</v>
      </c>
      <c r="H22" s="81" t="s">
        <v>126</v>
      </c>
      <c r="I22" s="81">
        <v>1</v>
      </c>
      <c r="J22" s="81" t="s">
        <v>127</v>
      </c>
      <c r="K22" s="81">
        <v>6</v>
      </c>
      <c r="N22" s="81">
        <f t="shared" si="1"/>
        <v>2.2560000000000002</v>
      </c>
      <c r="O22" s="55">
        <f t="shared" si="0"/>
        <v>12.744</v>
      </c>
      <c r="P22" s="81" t="s">
        <v>123</v>
      </c>
      <c r="R22" s="81">
        <v>1</v>
      </c>
      <c r="AK22" s="81">
        <v>3</v>
      </c>
      <c r="AQ22" s="81">
        <v>1</v>
      </c>
      <c r="AT22" s="81">
        <v>1</v>
      </c>
      <c r="BS22" s="81">
        <v>2</v>
      </c>
      <c r="CK22" s="81"/>
      <c r="CS22" s="81">
        <v>1</v>
      </c>
      <c r="DM22" s="59"/>
    </row>
    <row r="23" spans="1:117" ht="15">
      <c r="A23" s="81">
        <v>2150</v>
      </c>
      <c r="B23" s="81" t="s">
        <v>131</v>
      </c>
      <c r="C23" s="81">
        <v>21</v>
      </c>
      <c r="D23" s="81" t="s">
        <v>1</v>
      </c>
      <c r="E23" s="81" t="s">
        <v>143</v>
      </c>
      <c r="F23" s="55">
        <v>11.9</v>
      </c>
      <c r="G23" s="55">
        <f>'Tabulka-detailní přehled '!$I23+'Tabulka-detailní přehled '!$F23</f>
        <v>12.9</v>
      </c>
      <c r="H23" s="81" t="s">
        <v>126</v>
      </c>
      <c r="I23" s="81">
        <v>1</v>
      </c>
      <c r="J23" s="81" t="s">
        <v>127</v>
      </c>
      <c r="K23" s="81">
        <v>5</v>
      </c>
      <c r="L23" s="81">
        <v>1</v>
      </c>
      <c r="N23" s="81">
        <f t="shared" si="1"/>
        <v>2.36</v>
      </c>
      <c r="O23" s="55">
        <f t="shared" si="0"/>
        <v>10.540000000000001</v>
      </c>
      <c r="P23" s="81" t="s">
        <v>123</v>
      </c>
      <c r="R23" s="81">
        <v>1</v>
      </c>
      <c r="AK23" s="81">
        <v>3</v>
      </c>
      <c r="AQ23" s="81">
        <v>1</v>
      </c>
      <c r="BT23" s="81">
        <v>1</v>
      </c>
      <c r="CK23" s="81"/>
      <c r="CS23" s="81">
        <v>1</v>
      </c>
      <c r="DM23" s="59"/>
    </row>
    <row r="24" spans="1:117" ht="15">
      <c r="A24" s="81">
        <v>2160</v>
      </c>
      <c r="B24" s="81" t="s">
        <v>131</v>
      </c>
      <c r="C24" s="81">
        <v>21</v>
      </c>
      <c r="D24" s="81" t="s">
        <v>1</v>
      </c>
      <c r="E24" s="81" t="s">
        <v>144</v>
      </c>
      <c r="F24" s="55">
        <v>14</v>
      </c>
      <c r="G24" s="55">
        <f>'Tabulka-detailní přehled '!$I24+'Tabulka-detailní přehled '!$F24</f>
        <v>15</v>
      </c>
      <c r="H24" s="81" t="s">
        <v>126</v>
      </c>
      <c r="I24" s="81">
        <v>1</v>
      </c>
      <c r="J24" s="81" t="s">
        <v>127</v>
      </c>
      <c r="K24" s="81">
        <v>6</v>
      </c>
      <c r="L24" s="81">
        <v>1</v>
      </c>
      <c r="N24" s="81">
        <f t="shared" si="1"/>
        <v>2.736</v>
      </c>
      <c r="O24" s="55">
        <f t="shared" si="0"/>
        <v>12.264</v>
      </c>
      <c r="P24" s="81" t="s">
        <v>123</v>
      </c>
      <c r="R24" s="81">
        <v>1</v>
      </c>
      <c r="AK24" s="81">
        <v>3</v>
      </c>
      <c r="AQ24" s="81">
        <v>1</v>
      </c>
      <c r="BS24" s="81">
        <v>3</v>
      </c>
      <c r="CK24" s="81"/>
      <c r="CS24" s="81">
        <v>1</v>
      </c>
      <c r="DM24" s="59"/>
    </row>
    <row r="25" spans="1:117" ht="15">
      <c r="A25" s="81">
        <v>2170</v>
      </c>
      <c r="B25" s="81" t="s">
        <v>131</v>
      </c>
      <c r="C25" s="81">
        <v>21</v>
      </c>
      <c r="D25" s="81" t="s">
        <v>1</v>
      </c>
      <c r="E25" s="81" t="s">
        <v>145</v>
      </c>
      <c r="F25" s="55">
        <v>13.6</v>
      </c>
      <c r="G25" s="55">
        <f>'Tabulka-detailní přehled '!$I25+'Tabulka-detailní přehled '!$F25</f>
        <v>14.6</v>
      </c>
      <c r="H25" s="81" t="s">
        <v>126</v>
      </c>
      <c r="I25" s="81">
        <v>1</v>
      </c>
      <c r="J25" s="81" t="s">
        <v>127</v>
      </c>
      <c r="K25" s="81">
        <v>7</v>
      </c>
      <c r="N25" s="81">
        <f t="shared" si="1"/>
        <v>2.632</v>
      </c>
      <c r="O25" s="55">
        <f t="shared" si="0"/>
        <v>11.968</v>
      </c>
      <c r="P25" s="81" t="s">
        <v>123</v>
      </c>
      <c r="R25" s="81">
        <v>1</v>
      </c>
      <c r="AK25" s="81">
        <v>3</v>
      </c>
      <c r="AP25" s="81">
        <v>1</v>
      </c>
      <c r="AS25" s="81">
        <v>1</v>
      </c>
      <c r="BU25" s="81">
        <v>2</v>
      </c>
      <c r="CK25" s="81"/>
      <c r="CS25" s="81">
        <v>1</v>
      </c>
      <c r="DM25" s="59"/>
    </row>
    <row r="26" spans="1:117" ht="15">
      <c r="A26" s="81">
        <v>2180</v>
      </c>
      <c r="B26" s="81" t="s">
        <v>131</v>
      </c>
      <c r="C26" s="81">
        <v>21</v>
      </c>
      <c r="D26" s="81" t="s">
        <v>1</v>
      </c>
      <c r="E26" s="81" t="s">
        <v>146</v>
      </c>
      <c r="F26" s="55">
        <f>5.2*2.5</f>
        <v>13</v>
      </c>
      <c r="G26" s="55">
        <f>'Tabulka-detailní přehled '!$I26+'Tabulka-detailní přehled '!$F26</f>
        <v>14</v>
      </c>
      <c r="H26" s="81" t="s">
        <v>126</v>
      </c>
      <c r="I26" s="81">
        <v>1</v>
      </c>
      <c r="N26" s="81">
        <f t="shared" si="1"/>
        <v>0</v>
      </c>
      <c r="O26" s="55">
        <f t="shared" si="0"/>
        <v>14</v>
      </c>
      <c r="P26" s="81" t="s">
        <v>123</v>
      </c>
      <c r="R26" s="81">
        <v>1</v>
      </c>
      <c r="AK26" s="81">
        <v>3</v>
      </c>
      <c r="AP26" s="81">
        <v>1</v>
      </c>
      <c r="BU26" s="81">
        <v>2</v>
      </c>
      <c r="CK26" s="81"/>
      <c r="CX26" s="81">
        <v>1</v>
      </c>
      <c r="DM26" s="59"/>
    </row>
    <row r="27" spans="1:117" ht="15">
      <c r="A27" s="81">
        <v>2190</v>
      </c>
      <c r="B27" s="81" t="s">
        <v>147</v>
      </c>
      <c r="C27" s="81">
        <v>21</v>
      </c>
      <c r="D27" s="81" t="s">
        <v>1</v>
      </c>
      <c r="E27" s="81" t="s">
        <v>148</v>
      </c>
      <c r="F27" s="55">
        <f>2.4*5</f>
        <v>12</v>
      </c>
      <c r="G27" s="55">
        <f>'Tabulka-detailní přehled '!$I27+'Tabulka-detailní přehled '!$F27</f>
        <v>12.4</v>
      </c>
      <c r="H27" s="81" t="s">
        <v>126</v>
      </c>
      <c r="I27" s="81">
        <v>0.4</v>
      </c>
      <c r="J27" s="81" t="s">
        <v>149</v>
      </c>
      <c r="N27" s="81">
        <f t="shared" si="1"/>
        <v>0</v>
      </c>
      <c r="O27" s="55">
        <f t="shared" si="0"/>
        <v>12.4</v>
      </c>
      <c r="P27" s="81" t="s">
        <v>123</v>
      </c>
      <c r="R27" s="81">
        <v>1</v>
      </c>
      <c r="AI27" s="81">
        <v>1</v>
      </c>
      <c r="AJ27" s="81">
        <v>1</v>
      </c>
      <c r="AK27" s="81">
        <v>3</v>
      </c>
      <c r="AY27" s="81">
        <v>1</v>
      </c>
      <c r="BC27" s="81">
        <v>1</v>
      </c>
      <c r="BQ27" s="81">
        <v>1</v>
      </c>
      <c r="BR27" s="81">
        <v>2</v>
      </c>
      <c r="BU27" s="81">
        <v>1</v>
      </c>
      <c r="CK27" s="81"/>
      <c r="CV27" s="81">
        <v>1</v>
      </c>
      <c r="DM27" s="59"/>
    </row>
    <row r="28" spans="1:117" ht="15">
      <c r="A28" s="81">
        <v>2200</v>
      </c>
      <c r="B28" s="81" t="s">
        <v>150</v>
      </c>
      <c r="C28" s="81">
        <v>21</v>
      </c>
      <c r="D28" s="81" t="s">
        <v>1</v>
      </c>
      <c r="E28" s="81" t="s">
        <v>151</v>
      </c>
      <c r="F28" s="55">
        <v>11</v>
      </c>
      <c r="G28" s="55">
        <f>'Tabulka-detailní přehled '!$I28+'Tabulka-detailní přehled '!$F28</f>
        <v>11.4</v>
      </c>
      <c r="H28" s="81" t="s">
        <v>126</v>
      </c>
      <c r="I28" s="81">
        <v>0.4</v>
      </c>
      <c r="N28" s="81">
        <f t="shared" si="1"/>
        <v>0</v>
      </c>
      <c r="O28" s="55">
        <f t="shared" si="0"/>
        <v>11.4</v>
      </c>
      <c r="P28" s="81" t="s">
        <v>114</v>
      </c>
      <c r="R28" s="81">
        <v>1</v>
      </c>
      <c r="AK28" s="81">
        <v>3</v>
      </c>
      <c r="AZ28" s="81">
        <v>3</v>
      </c>
      <c r="CC28" s="81">
        <v>8</v>
      </c>
      <c r="CH28" s="81">
        <v>1</v>
      </c>
      <c r="CK28" s="81"/>
      <c r="CQ28" s="81">
        <v>1</v>
      </c>
      <c r="DM28" s="59"/>
    </row>
    <row r="29" spans="1:117" ht="15">
      <c r="A29" s="81">
        <v>2210</v>
      </c>
      <c r="B29" s="81" t="s">
        <v>152</v>
      </c>
      <c r="C29" s="81">
        <v>21</v>
      </c>
      <c r="D29" s="81" t="s">
        <v>3</v>
      </c>
      <c r="E29" s="81" t="s">
        <v>153</v>
      </c>
      <c r="F29" s="55">
        <v>2.9</v>
      </c>
      <c r="G29" s="55">
        <f>'Tabulka-detailní přehled '!$I29+'Tabulka-detailní přehled '!$F29</f>
        <v>3.3</v>
      </c>
      <c r="H29" s="81" t="s">
        <v>126</v>
      </c>
      <c r="I29" s="81">
        <v>0.4</v>
      </c>
      <c r="N29" s="81">
        <f t="shared" si="1"/>
        <v>0</v>
      </c>
      <c r="O29" s="55">
        <f t="shared" si="0"/>
        <v>3.3</v>
      </c>
      <c r="P29" s="81" t="s">
        <v>114</v>
      </c>
      <c r="AP29" s="81">
        <v>1</v>
      </c>
      <c r="CB29" s="81">
        <v>1</v>
      </c>
      <c r="CK29" s="81"/>
      <c r="DM29" s="59"/>
    </row>
    <row r="30" spans="1:117" ht="15">
      <c r="A30" s="81">
        <v>2220</v>
      </c>
      <c r="B30" s="81" t="s">
        <v>154</v>
      </c>
      <c r="C30" s="81">
        <v>21</v>
      </c>
      <c r="D30" s="81" t="s">
        <v>1</v>
      </c>
      <c r="E30" s="81" t="s">
        <v>155</v>
      </c>
      <c r="F30" s="55">
        <v>17.3</v>
      </c>
      <c r="G30" s="55">
        <f>'Tabulka-detailní přehled '!$I30+'Tabulka-detailní přehled '!$F30</f>
        <v>19.6</v>
      </c>
      <c r="H30" s="81" t="s">
        <v>126</v>
      </c>
      <c r="I30" s="81">
        <f>ROUND(1.87*0.35*3+0.95*0.35,1)</f>
        <v>2.3</v>
      </c>
      <c r="N30" s="81">
        <f t="shared" si="1"/>
        <v>0</v>
      </c>
      <c r="O30" s="55">
        <f t="shared" si="0"/>
        <v>19.6</v>
      </c>
      <c r="P30" s="81" t="s">
        <v>123</v>
      </c>
      <c r="S30" s="81">
        <v>12</v>
      </c>
      <c r="T30" s="81">
        <v>6</v>
      </c>
      <c r="AX30" s="81">
        <v>1</v>
      </c>
      <c r="BB30" s="81">
        <v>1</v>
      </c>
      <c r="BD30" s="81">
        <v>3</v>
      </c>
      <c r="CD30" s="81">
        <v>2</v>
      </c>
      <c r="CJ30" s="81">
        <v>2</v>
      </c>
      <c r="CK30" s="81"/>
      <c r="DM30" s="59"/>
    </row>
    <row r="31" spans="1:117" ht="15">
      <c r="A31" s="81">
        <v>2230</v>
      </c>
      <c r="B31" s="81" t="s">
        <v>156</v>
      </c>
      <c r="C31" s="81">
        <v>21</v>
      </c>
      <c r="D31" s="81" t="s">
        <v>2</v>
      </c>
      <c r="E31" s="81" t="s">
        <v>157</v>
      </c>
      <c r="F31" s="55">
        <v>11.6</v>
      </c>
      <c r="G31" s="55">
        <f>'Tabulka-detailní přehled '!$I31+'Tabulka-detailní přehled '!$F31</f>
        <v>11.6</v>
      </c>
      <c r="J31" s="81" t="s">
        <v>158</v>
      </c>
      <c r="M31" s="81">
        <f>1.62*0.5</f>
        <v>0.81</v>
      </c>
      <c r="N31" s="81">
        <f t="shared" si="1"/>
        <v>0.81</v>
      </c>
      <c r="O31" s="55">
        <f t="shared" si="0"/>
        <v>10.79</v>
      </c>
      <c r="P31" s="81" t="s">
        <v>123</v>
      </c>
      <c r="AV31" s="81">
        <v>2</v>
      </c>
      <c r="AW31" s="81">
        <v>1</v>
      </c>
      <c r="CB31" s="81">
        <v>4</v>
      </c>
      <c r="CK31" s="81"/>
      <c r="DM31" s="59"/>
    </row>
    <row r="32" spans="1:117" ht="15">
      <c r="A32" s="81">
        <v>2240</v>
      </c>
      <c r="B32" s="81" t="s">
        <v>159</v>
      </c>
      <c r="C32" s="81">
        <v>21</v>
      </c>
      <c r="D32" s="81" t="s">
        <v>2</v>
      </c>
      <c r="E32" s="81" t="s">
        <v>160</v>
      </c>
      <c r="F32" s="55">
        <v>42.3</v>
      </c>
      <c r="G32" s="55">
        <f>'Tabulka-detailní přehled '!$I32+'Tabulka-detailní přehled '!$F32</f>
        <v>42.3</v>
      </c>
      <c r="J32" s="81" t="s">
        <v>161</v>
      </c>
      <c r="M32" s="81">
        <f>5.1*0.8+1.1*0.5</f>
        <v>4.63</v>
      </c>
      <c r="N32" s="81">
        <f t="shared" si="1"/>
        <v>4.63</v>
      </c>
      <c r="O32" s="55">
        <f t="shared" si="0"/>
        <v>37.669999999999995</v>
      </c>
      <c r="P32" s="81" t="s">
        <v>123</v>
      </c>
      <c r="Q32" s="81">
        <v>3</v>
      </c>
      <c r="AF32" s="81">
        <v>3</v>
      </c>
      <c r="CB32" s="81">
        <v>24</v>
      </c>
      <c r="CK32" s="81"/>
      <c r="CV32" s="81">
        <v>3</v>
      </c>
      <c r="DM32" s="59"/>
    </row>
    <row r="33" spans="1:117" ht="15">
      <c r="A33" s="81">
        <v>2250</v>
      </c>
      <c r="B33" s="81" t="s">
        <v>131</v>
      </c>
      <c r="C33" s="81">
        <v>21</v>
      </c>
      <c r="D33" s="81" t="s">
        <v>1</v>
      </c>
      <c r="E33" s="81" t="s">
        <v>162</v>
      </c>
      <c r="F33" s="55">
        <f>2.7*5</f>
        <v>13.5</v>
      </c>
      <c r="G33" s="55">
        <f>'Tabulka-detailní přehled '!$I33+'Tabulka-detailní přehled '!$F33</f>
        <v>13.9</v>
      </c>
      <c r="H33" s="81" t="s">
        <v>126</v>
      </c>
      <c r="I33" s="81">
        <v>0.4</v>
      </c>
      <c r="N33" s="81">
        <f t="shared" si="1"/>
        <v>0</v>
      </c>
      <c r="O33" s="56">
        <f t="shared" si="0"/>
        <v>13.9</v>
      </c>
      <c r="P33" s="81" t="s">
        <v>123</v>
      </c>
      <c r="R33" s="81">
        <v>1</v>
      </c>
      <c r="AK33" s="81">
        <v>3</v>
      </c>
      <c r="AP33" s="81" t="s">
        <v>163</v>
      </c>
      <c r="AQ33" s="81">
        <v>1</v>
      </c>
      <c r="BJ33" s="81">
        <v>2</v>
      </c>
      <c r="BS33" s="81">
        <v>1</v>
      </c>
      <c r="CH33" s="81">
        <v>1</v>
      </c>
      <c r="CK33" s="81"/>
      <c r="CL33" s="81">
        <v>1</v>
      </c>
      <c r="DM33" s="59"/>
    </row>
    <row r="34" spans="1:117" ht="15">
      <c r="A34" s="81">
        <v>2260</v>
      </c>
      <c r="B34" s="81" t="s">
        <v>131</v>
      </c>
      <c r="C34" s="81">
        <v>21</v>
      </c>
      <c r="D34" s="81" t="s">
        <v>1</v>
      </c>
      <c r="E34" s="81" t="s">
        <v>164</v>
      </c>
      <c r="F34" s="55">
        <f>2.6*5</f>
        <v>13</v>
      </c>
      <c r="G34" s="55">
        <f>'Tabulka-detailní přehled '!$I34+'Tabulka-detailní přehled '!$F34</f>
        <v>14</v>
      </c>
      <c r="H34" s="81" t="s">
        <v>126</v>
      </c>
      <c r="I34" s="81">
        <v>1</v>
      </c>
      <c r="N34" s="81">
        <f t="shared" si="1"/>
        <v>0</v>
      </c>
      <c r="O34" s="56">
        <f t="shared" si="0"/>
        <v>14</v>
      </c>
      <c r="P34" s="81" t="s">
        <v>123</v>
      </c>
      <c r="R34" s="81">
        <v>1</v>
      </c>
      <c r="AK34" s="81">
        <v>3</v>
      </c>
      <c r="AV34" s="81">
        <v>1</v>
      </c>
      <c r="BS34" s="81">
        <v>1</v>
      </c>
      <c r="CK34" s="81"/>
      <c r="CL34" s="81">
        <v>1</v>
      </c>
      <c r="DM34" s="59"/>
    </row>
    <row r="35" spans="1:117" ht="15">
      <c r="A35" s="81">
        <v>2270</v>
      </c>
      <c r="B35" s="81" t="s">
        <v>131</v>
      </c>
      <c r="C35" s="81">
        <v>21</v>
      </c>
      <c r="D35" s="81" t="s">
        <v>1</v>
      </c>
      <c r="E35" s="81" t="s">
        <v>165</v>
      </c>
      <c r="F35" s="55">
        <f>5.2*5</f>
        <v>26</v>
      </c>
      <c r="G35" s="55">
        <f>'Tabulka-detailní přehled '!$I35+'Tabulka-detailní přehled '!$F35</f>
        <v>26.4</v>
      </c>
      <c r="H35" s="81" t="s">
        <v>126</v>
      </c>
      <c r="I35" s="81">
        <v>0.4</v>
      </c>
      <c r="N35" s="81">
        <f t="shared" si="1"/>
        <v>0</v>
      </c>
      <c r="O35" s="56">
        <f t="shared" si="0"/>
        <v>26.4</v>
      </c>
      <c r="P35" s="81" t="s">
        <v>123</v>
      </c>
      <c r="R35" s="81">
        <v>2</v>
      </c>
      <c r="AK35" s="81">
        <v>6</v>
      </c>
      <c r="AP35" s="81">
        <v>1</v>
      </c>
      <c r="AS35" s="81">
        <v>1</v>
      </c>
      <c r="CH35" s="81">
        <v>1</v>
      </c>
      <c r="CK35" s="81"/>
      <c r="CV35" s="81">
        <v>2</v>
      </c>
      <c r="DM35" s="59"/>
    </row>
    <row r="36" spans="1:117" ht="15">
      <c r="A36" s="81">
        <v>2280</v>
      </c>
      <c r="B36" s="81" t="s">
        <v>131</v>
      </c>
      <c r="C36" s="81">
        <v>21</v>
      </c>
      <c r="D36" s="81" t="s">
        <v>359</v>
      </c>
      <c r="E36" s="81" t="s">
        <v>166</v>
      </c>
      <c r="F36" s="55">
        <f>2.8*5</f>
        <v>14</v>
      </c>
      <c r="G36" s="55">
        <f>'Tabulka-detailní přehled '!$I36+'Tabulka-detailní přehled '!$F36</f>
        <v>14.4</v>
      </c>
      <c r="H36" s="81" t="s">
        <v>126</v>
      </c>
      <c r="I36" s="81">
        <v>0.4</v>
      </c>
      <c r="N36" s="81">
        <f t="shared" si="1"/>
        <v>0</v>
      </c>
      <c r="O36" s="56">
        <f t="shared" si="0"/>
        <v>14.4</v>
      </c>
      <c r="P36" s="81" t="s">
        <v>123</v>
      </c>
      <c r="R36" s="81">
        <v>1</v>
      </c>
      <c r="AK36" s="81">
        <v>3</v>
      </c>
      <c r="AQ36" s="81">
        <v>1</v>
      </c>
      <c r="AV36" s="81">
        <v>1</v>
      </c>
      <c r="CE36" s="81">
        <v>4</v>
      </c>
      <c r="CH36" s="81">
        <v>1</v>
      </c>
      <c r="CK36" s="81"/>
      <c r="CL36" s="81">
        <v>1</v>
      </c>
      <c r="DM36" s="59"/>
    </row>
    <row r="37" spans="1:117" ht="15">
      <c r="A37" s="81">
        <v>2290</v>
      </c>
      <c r="B37" s="81" t="s">
        <v>131</v>
      </c>
      <c r="C37" s="81">
        <v>21</v>
      </c>
      <c r="D37" s="81" t="s">
        <v>359</v>
      </c>
      <c r="E37" s="81" t="s">
        <v>167</v>
      </c>
      <c r="F37" s="55">
        <f>2.9*5</f>
        <v>14.5</v>
      </c>
      <c r="G37" s="55">
        <f>'Tabulka-detailní přehled '!$I37+'Tabulka-detailní přehled '!$F37</f>
        <v>14.9</v>
      </c>
      <c r="H37" s="81" t="s">
        <v>126</v>
      </c>
      <c r="I37" s="81">
        <v>0.4</v>
      </c>
      <c r="N37" s="81">
        <f t="shared" si="1"/>
        <v>0</v>
      </c>
      <c r="O37" s="56">
        <f t="shared" si="0"/>
        <v>14.9</v>
      </c>
      <c r="P37" s="81" t="s">
        <v>123</v>
      </c>
      <c r="R37" s="81">
        <v>1</v>
      </c>
      <c r="AK37" s="81">
        <v>3</v>
      </c>
      <c r="AQ37" s="81">
        <v>1</v>
      </c>
      <c r="BS37" s="81">
        <v>1</v>
      </c>
      <c r="CH37" s="81">
        <v>1</v>
      </c>
      <c r="CK37" s="81"/>
      <c r="CL37" s="81">
        <v>1</v>
      </c>
      <c r="DM37" s="59"/>
    </row>
    <row r="38" spans="1:117" ht="15">
      <c r="A38" s="81">
        <v>2300</v>
      </c>
      <c r="B38" s="81" t="s">
        <v>131</v>
      </c>
      <c r="C38" s="81">
        <v>21</v>
      </c>
      <c r="D38" s="81" t="s">
        <v>359</v>
      </c>
      <c r="E38" s="81" t="s">
        <v>162</v>
      </c>
      <c r="F38" s="55">
        <f>2.7*5</f>
        <v>13.5</v>
      </c>
      <c r="G38" s="55">
        <f>'Tabulka-detailní přehled '!$I38+'Tabulka-detailní přehled '!$F38</f>
        <v>13.9</v>
      </c>
      <c r="H38" s="81" t="s">
        <v>126</v>
      </c>
      <c r="I38" s="81">
        <v>0.4</v>
      </c>
      <c r="N38" s="81">
        <f t="shared" si="1"/>
        <v>0</v>
      </c>
      <c r="O38" s="56">
        <f t="shared" si="0"/>
        <v>13.9</v>
      </c>
      <c r="P38" s="81" t="s">
        <v>123</v>
      </c>
      <c r="R38" s="81">
        <v>1</v>
      </c>
      <c r="AK38" s="81">
        <v>3</v>
      </c>
      <c r="AQ38" s="81">
        <v>1</v>
      </c>
      <c r="BS38" s="81">
        <v>1</v>
      </c>
      <c r="CH38" s="81">
        <v>1</v>
      </c>
      <c r="CK38" s="81"/>
      <c r="CL38" s="81">
        <v>1</v>
      </c>
      <c r="DM38" s="59"/>
    </row>
    <row r="39" spans="1:117" ht="15">
      <c r="A39" s="81">
        <v>2310</v>
      </c>
      <c r="B39" s="81" t="s">
        <v>131</v>
      </c>
      <c r="C39" s="81">
        <v>21</v>
      </c>
      <c r="D39" s="81" t="s">
        <v>359</v>
      </c>
      <c r="E39" s="81" t="s">
        <v>168</v>
      </c>
      <c r="F39" s="55">
        <f>4.45*6.65</f>
        <v>29.5925</v>
      </c>
      <c r="G39" s="55">
        <f>'Tabulka-detailní přehled '!$I39+'Tabulka-detailní přehled '!$F39</f>
        <v>29.5925</v>
      </c>
      <c r="J39" s="81" t="s">
        <v>169</v>
      </c>
      <c r="N39" s="81">
        <f t="shared" si="1"/>
        <v>0</v>
      </c>
      <c r="O39" s="56">
        <f t="shared" si="0"/>
        <v>29.5925</v>
      </c>
      <c r="P39" s="81" t="s">
        <v>123</v>
      </c>
      <c r="R39" s="81">
        <v>2</v>
      </c>
      <c r="AK39" s="81">
        <v>6</v>
      </c>
      <c r="AQ39" s="81">
        <v>1</v>
      </c>
      <c r="BT39" s="81">
        <v>2</v>
      </c>
      <c r="CH39" s="81">
        <v>1</v>
      </c>
      <c r="CK39" s="81"/>
      <c r="CP39" s="81">
        <v>2</v>
      </c>
      <c r="DM39" s="59"/>
    </row>
    <row r="40" spans="1:117" ht="15">
      <c r="A40" s="81">
        <v>2311</v>
      </c>
      <c r="B40" s="81" t="s">
        <v>150</v>
      </c>
      <c r="C40" s="81">
        <v>21</v>
      </c>
      <c r="D40" s="81" t="s">
        <v>1</v>
      </c>
      <c r="E40" s="81" t="s">
        <v>170</v>
      </c>
      <c r="F40" s="55">
        <f>3.1*0.93</f>
        <v>2.8830000000000005</v>
      </c>
      <c r="G40" s="55">
        <f>'Tabulka-detailní přehled '!$I40+'Tabulka-detailní přehled '!$F40</f>
        <v>2.8830000000000005</v>
      </c>
      <c r="N40" s="81">
        <f t="shared" si="1"/>
        <v>0</v>
      </c>
      <c r="O40" s="56">
        <f t="shared" si="0"/>
        <v>2.8830000000000005</v>
      </c>
      <c r="P40" s="81" t="s">
        <v>114</v>
      </c>
      <c r="R40" s="81">
        <v>1</v>
      </c>
      <c r="AZ40" s="81">
        <v>2</v>
      </c>
      <c r="CB40" s="81">
        <v>2</v>
      </c>
      <c r="CH40" s="81">
        <v>1</v>
      </c>
      <c r="CK40" s="81">
        <v>1</v>
      </c>
      <c r="DM40" s="59"/>
    </row>
    <row r="41" spans="1:117" ht="15">
      <c r="A41" s="81">
        <v>2320</v>
      </c>
      <c r="B41" s="81" t="s">
        <v>150</v>
      </c>
      <c r="C41" s="81">
        <v>21</v>
      </c>
      <c r="D41" s="81" t="s">
        <v>1</v>
      </c>
      <c r="E41" s="81" t="s">
        <v>171</v>
      </c>
      <c r="F41" s="55">
        <f>2.36*5.6</f>
        <v>13.216</v>
      </c>
      <c r="G41" s="55">
        <f>'Tabulka-detailní přehled '!$I41+'Tabulka-detailní přehled '!$F41</f>
        <v>13.216</v>
      </c>
      <c r="N41" s="81">
        <f t="shared" si="1"/>
        <v>0</v>
      </c>
      <c r="O41" s="56">
        <f t="shared" si="0"/>
        <v>13.216</v>
      </c>
      <c r="P41" s="81" t="s">
        <v>114</v>
      </c>
      <c r="R41" s="81">
        <v>1</v>
      </c>
      <c r="AE41" s="81">
        <v>1</v>
      </c>
      <c r="AZ41" s="81">
        <v>4</v>
      </c>
      <c r="CC41" s="81">
        <v>9</v>
      </c>
      <c r="CH41" s="81">
        <v>1</v>
      </c>
      <c r="CK41" s="81">
        <v>1</v>
      </c>
      <c r="DM41" s="59"/>
    </row>
    <row r="42" spans="1:117" ht="15">
      <c r="A42" s="81">
        <v>2330</v>
      </c>
      <c r="B42" s="81" t="s">
        <v>131</v>
      </c>
      <c r="C42" s="81">
        <v>21</v>
      </c>
      <c r="D42" s="81" t="s">
        <v>1</v>
      </c>
      <c r="E42" s="81" t="s">
        <v>172</v>
      </c>
      <c r="F42" s="55">
        <f>2.63*5.35</f>
        <v>14.0705</v>
      </c>
      <c r="G42" s="55">
        <f>'Tabulka-detailní přehled '!$I42+'Tabulka-detailní přehled '!$F42</f>
        <v>15.0705</v>
      </c>
      <c r="H42" s="81" t="s">
        <v>126</v>
      </c>
      <c r="I42" s="81">
        <v>1</v>
      </c>
      <c r="J42" s="81" t="s">
        <v>173</v>
      </c>
      <c r="M42" s="81">
        <v>0.44</v>
      </c>
      <c r="N42" s="81">
        <f t="shared" si="1"/>
        <v>0.44</v>
      </c>
      <c r="O42" s="56">
        <f t="shared" si="0"/>
        <v>14.6305</v>
      </c>
      <c r="P42" s="81" t="s">
        <v>123</v>
      </c>
      <c r="R42" s="81">
        <v>1</v>
      </c>
      <c r="AK42" s="81">
        <v>3</v>
      </c>
      <c r="AP42" s="81">
        <v>1</v>
      </c>
      <c r="BT42" s="81">
        <v>1</v>
      </c>
      <c r="CK42" s="81"/>
      <c r="CL42" s="81">
        <v>1</v>
      </c>
      <c r="DM42" s="59"/>
    </row>
    <row r="43" spans="1:117" ht="15">
      <c r="A43" s="81">
        <v>2340</v>
      </c>
      <c r="B43" s="81" t="s">
        <v>131</v>
      </c>
      <c r="C43" s="81">
        <v>21</v>
      </c>
      <c r="D43" s="81" t="s">
        <v>1</v>
      </c>
      <c r="E43" s="81" t="s">
        <v>174</v>
      </c>
      <c r="F43" s="55">
        <f>2.58*4.8</f>
        <v>12.384</v>
      </c>
      <c r="G43" s="55">
        <f>'Tabulka-detailní přehled '!$I43+'Tabulka-detailní přehled '!$F43</f>
        <v>13.392</v>
      </c>
      <c r="H43" s="81" t="s">
        <v>126</v>
      </c>
      <c r="I43" s="81">
        <f>0.84*1.2</f>
        <v>1.008</v>
      </c>
      <c r="N43" s="81">
        <f t="shared" si="1"/>
        <v>0</v>
      </c>
      <c r="O43" s="56">
        <f t="shared" si="0"/>
        <v>13.392</v>
      </c>
      <c r="P43" s="81" t="s">
        <v>123</v>
      </c>
      <c r="R43" s="81">
        <v>1</v>
      </c>
      <c r="AK43" s="81">
        <v>3</v>
      </c>
      <c r="AP43" s="81">
        <v>1</v>
      </c>
      <c r="AV43" s="81">
        <v>1</v>
      </c>
      <c r="BT43" s="81">
        <v>1</v>
      </c>
      <c r="CK43" s="81"/>
      <c r="CL43" s="81">
        <v>1</v>
      </c>
      <c r="DM43" s="59"/>
    </row>
    <row r="44" spans="1:117" ht="15">
      <c r="A44" s="81">
        <v>2350</v>
      </c>
      <c r="B44" s="81" t="s">
        <v>131</v>
      </c>
      <c r="C44" s="81">
        <v>21</v>
      </c>
      <c r="D44" s="81" t="s">
        <v>1</v>
      </c>
      <c r="E44" s="81" t="s">
        <v>175</v>
      </c>
      <c r="F44" s="55">
        <f>7.7*11.54</f>
        <v>88.85799999999999</v>
      </c>
      <c r="G44" s="55">
        <f>'Tabulka-detailní přehled '!$I44+'Tabulka-detailní přehled '!$F44</f>
        <v>90.34799999999998</v>
      </c>
      <c r="H44" s="81" t="s">
        <v>126</v>
      </c>
      <c r="I44" s="81">
        <f>0.35*2.4+0.25*2.6</f>
        <v>1.49</v>
      </c>
      <c r="N44" s="81">
        <f t="shared" si="1"/>
        <v>0</v>
      </c>
      <c r="O44" s="56">
        <f t="shared" si="0"/>
        <v>90.34799999999998</v>
      </c>
      <c r="P44" s="81" t="s">
        <v>123</v>
      </c>
      <c r="R44" s="81" t="s">
        <v>176</v>
      </c>
      <c r="AB44" s="81">
        <v>6</v>
      </c>
      <c r="AH44" s="81">
        <v>6</v>
      </c>
      <c r="BK44" s="81">
        <v>1</v>
      </c>
      <c r="BX44" s="81">
        <v>7</v>
      </c>
      <c r="CK44" s="81"/>
      <c r="CM44" s="81">
        <v>5</v>
      </c>
      <c r="DM44" s="59"/>
    </row>
    <row r="45" spans="1:117" ht="15">
      <c r="A45" s="81">
        <v>2360</v>
      </c>
      <c r="B45" s="81" t="s">
        <v>150</v>
      </c>
      <c r="C45" s="81">
        <v>21</v>
      </c>
      <c r="D45" s="81" t="s">
        <v>1</v>
      </c>
      <c r="E45" s="81" t="s">
        <v>177</v>
      </c>
      <c r="F45" s="55">
        <f>1.3*1.08+1.08*1.4</f>
        <v>2.9160000000000004</v>
      </c>
      <c r="G45" s="55">
        <f>'Tabulka-detailní přehled '!$I45+'Tabulka-detailní přehled '!$F45</f>
        <v>2.9160000000000004</v>
      </c>
      <c r="N45" s="81">
        <f t="shared" si="1"/>
        <v>0</v>
      </c>
      <c r="O45" s="56">
        <f t="shared" si="0"/>
        <v>2.9160000000000004</v>
      </c>
      <c r="P45" s="81" t="s">
        <v>114</v>
      </c>
      <c r="W45" s="81">
        <v>1</v>
      </c>
      <c r="AM45" s="81">
        <v>2</v>
      </c>
      <c r="BL45" s="81">
        <v>2</v>
      </c>
      <c r="CB45" s="81">
        <v>2</v>
      </c>
      <c r="CH45" s="81">
        <v>1</v>
      </c>
      <c r="CK45" s="81"/>
      <c r="CL45" s="81">
        <v>1</v>
      </c>
      <c r="DM45" s="59"/>
    </row>
    <row r="46" spans="1:117" ht="15">
      <c r="A46" s="81">
        <v>2361</v>
      </c>
      <c r="B46" s="81" t="s">
        <v>150</v>
      </c>
      <c r="C46" s="81">
        <v>21</v>
      </c>
      <c r="D46" s="81" t="s">
        <v>1</v>
      </c>
      <c r="E46" s="81" t="s">
        <v>178</v>
      </c>
      <c r="F46" s="55">
        <f>0.87*2.4+1.2*2.8</f>
        <v>5.448</v>
      </c>
      <c r="G46" s="55">
        <f>'Tabulka-detailní přehled '!$I46+'Tabulka-detailní přehled '!$F46</f>
        <v>5.448</v>
      </c>
      <c r="N46" s="81">
        <f t="shared" si="1"/>
        <v>0</v>
      </c>
      <c r="O46" s="56">
        <f t="shared" si="0"/>
        <v>5.448</v>
      </c>
      <c r="P46" s="81" t="s">
        <v>114</v>
      </c>
      <c r="BL46" s="81">
        <v>2</v>
      </c>
      <c r="CB46" s="81">
        <v>2</v>
      </c>
      <c r="CH46" s="81">
        <v>1</v>
      </c>
      <c r="CK46" s="81"/>
      <c r="DM46" s="59"/>
    </row>
    <row r="47" spans="1:117" ht="15">
      <c r="A47" s="81">
        <v>2370</v>
      </c>
      <c r="B47" s="81" t="s">
        <v>131</v>
      </c>
      <c r="C47" s="81">
        <v>21</v>
      </c>
      <c r="D47" s="81" t="s">
        <v>359</v>
      </c>
      <c r="E47" s="81" t="s">
        <v>179</v>
      </c>
      <c r="F47" s="55">
        <f>4*3.7</f>
        <v>14.8</v>
      </c>
      <c r="G47" s="55">
        <f>'Tabulka-detailní přehled '!$I47+'Tabulka-detailní přehled '!$F47</f>
        <v>17.8</v>
      </c>
      <c r="H47" s="81" t="s">
        <v>126</v>
      </c>
      <c r="I47" s="81">
        <f>1.5*2</f>
        <v>3</v>
      </c>
      <c r="N47" s="81">
        <f t="shared" si="1"/>
        <v>0</v>
      </c>
      <c r="O47" s="56">
        <f t="shared" si="0"/>
        <v>17.8</v>
      </c>
      <c r="P47" s="81" t="s">
        <v>123</v>
      </c>
      <c r="W47" s="81">
        <v>2</v>
      </c>
      <c r="AL47" s="81">
        <v>1</v>
      </c>
      <c r="AM47" s="81">
        <v>4</v>
      </c>
      <c r="AR47" s="81" t="s">
        <v>37</v>
      </c>
      <c r="AU47" s="81">
        <v>1</v>
      </c>
      <c r="BU47" s="81">
        <v>2</v>
      </c>
      <c r="CK47" s="81"/>
      <c r="CY47" s="81">
        <v>2</v>
      </c>
      <c r="DM47" s="59"/>
    </row>
    <row r="48" spans="1:117" ht="15">
      <c r="A48" s="81">
        <v>2380</v>
      </c>
      <c r="B48" s="81" t="s">
        <v>131</v>
      </c>
      <c r="C48" s="81">
        <v>21</v>
      </c>
      <c r="D48" s="81" t="s">
        <v>1</v>
      </c>
      <c r="E48" s="81" t="s">
        <v>180</v>
      </c>
      <c r="F48" s="55">
        <f>3.8*4.7+0.5</f>
        <v>18.36</v>
      </c>
      <c r="G48" s="55">
        <f>'Tabulka-detailní přehled '!$I48+'Tabulka-detailní přehled '!$F48</f>
        <v>21.09</v>
      </c>
      <c r="H48" s="81" t="s">
        <v>126</v>
      </c>
      <c r="I48" s="81">
        <f>1.95*1.4</f>
        <v>2.73</v>
      </c>
      <c r="N48" s="81">
        <f t="shared" si="1"/>
        <v>0</v>
      </c>
      <c r="O48" s="56">
        <f t="shared" si="0"/>
        <v>21.09</v>
      </c>
      <c r="P48" s="81" t="s">
        <v>123</v>
      </c>
      <c r="W48" s="81">
        <v>2</v>
      </c>
      <c r="AM48" s="81">
        <v>4</v>
      </c>
      <c r="AV48" s="81">
        <v>1</v>
      </c>
      <c r="AW48" s="81" t="s">
        <v>128</v>
      </c>
      <c r="BS48" s="81">
        <v>3</v>
      </c>
      <c r="CK48" s="81"/>
      <c r="CY48" s="81">
        <v>2</v>
      </c>
      <c r="DM48" s="59"/>
    </row>
    <row r="49" spans="1:117" ht="15">
      <c r="A49" s="81">
        <v>2390</v>
      </c>
      <c r="B49" s="81" t="s">
        <v>131</v>
      </c>
      <c r="C49" s="81">
        <v>21</v>
      </c>
      <c r="D49" s="81" t="s">
        <v>359</v>
      </c>
      <c r="E49" s="81" t="s">
        <v>181</v>
      </c>
      <c r="F49" s="55">
        <f>3*5.8</f>
        <v>17.4</v>
      </c>
      <c r="G49" s="55">
        <f>'Tabulka-detailní přehled '!$I49+'Tabulka-detailní přehled '!$F49</f>
        <v>17.4</v>
      </c>
      <c r="J49" s="81" t="s">
        <v>182</v>
      </c>
      <c r="M49" s="81">
        <v>1.3</v>
      </c>
      <c r="N49" s="81">
        <f t="shared" si="1"/>
        <v>1.3</v>
      </c>
      <c r="O49" s="56">
        <f t="shared" si="0"/>
        <v>16.099999999999998</v>
      </c>
      <c r="P49" s="81" t="s">
        <v>123</v>
      </c>
      <c r="U49" s="81">
        <v>2</v>
      </c>
      <c r="AV49" s="81">
        <v>1</v>
      </c>
      <c r="BS49" s="81">
        <v>2</v>
      </c>
      <c r="CH49" s="81">
        <v>1</v>
      </c>
      <c r="CK49" s="81"/>
      <c r="CO49" s="81">
        <v>1</v>
      </c>
      <c r="CZ49" s="81">
        <v>1</v>
      </c>
      <c r="DM49" s="59"/>
    </row>
    <row r="50" spans="1:117" ht="15">
      <c r="A50" s="81">
        <v>2400</v>
      </c>
      <c r="B50" s="81" t="s">
        <v>131</v>
      </c>
      <c r="C50" s="81">
        <v>20</v>
      </c>
      <c r="D50" s="81" t="s">
        <v>359</v>
      </c>
      <c r="E50" s="81" t="s">
        <v>183</v>
      </c>
      <c r="F50" s="55">
        <f>4.15*5.6</f>
        <v>23.240000000000002</v>
      </c>
      <c r="G50" s="55">
        <f>'Tabulka-detailní přehled '!$I50+'Tabulka-detailní přehled '!$F50</f>
        <v>23.240000000000002</v>
      </c>
      <c r="J50" s="81" t="s">
        <v>182</v>
      </c>
      <c r="M50" s="81">
        <v>0.5</v>
      </c>
      <c r="N50" s="81">
        <f t="shared" si="1"/>
        <v>0.5</v>
      </c>
      <c r="O50" s="56">
        <f t="shared" si="0"/>
        <v>22.740000000000002</v>
      </c>
      <c r="P50" s="81" t="s">
        <v>123</v>
      </c>
      <c r="U50" s="81">
        <v>2</v>
      </c>
      <c r="AU50" s="81">
        <v>1</v>
      </c>
      <c r="CK50" s="81"/>
      <c r="DM50" s="59"/>
    </row>
    <row r="51" spans="1:117" ht="15">
      <c r="A51" s="81">
        <v>2410</v>
      </c>
      <c r="B51" s="81" t="s">
        <v>131</v>
      </c>
      <c r="C51" s="81">
        <v>20</v>
      </c>
      <c r="D51" s="81" t="s">
        <v>359</v>
      </c>
      <c r="E51" s="81" t="s">
        <v>184</v>
      </c>
      <c r="F51" s="55">
        <f>5.4*3.4</f>
        <v>18.36</v>
      </c>
      <c r="G51" s="55">
        <f>'Tabulka-detailní přehled '!$I51+'Tabulka-detailní přehled '!$F51</f>
        <v>18.36</v>
      </c>
      <c r="J51" s="81" t="s">
        <v>185</v>
      </c>
      <c r="M51" s="81">
        <v>0.3</v>
      </c>
      <c r="N51" s="81">
        <f t="shared" si="1"/>
        <v>0.3</v>
      </c>
      <c r="O51" s="56">
        <f t="shared" si="0"/>
        <v>18.06</v>
      </c>
      <c r="P51" s="81" t="s">
        <v>123</v>
      </c>
      <c r="R51" s="81">
        <v>1</v>
      </c>
      <c r="CH51" s="81">
        <v>1</v>
      </c>
      <c r="CK51" s="81"/>
      <c r="DM51" s="59"/>
    </row>
    <row r="52" spans="1:117" ht="15">
      <c r="A52" s="81">
        <v>2501</v>
      </c>
      <c r="B52" s="81" t="s">
        <v>113</v>
      </c>
      <c r="C52" s="81">
        <v>21</v>
      </c>
      <c r="D52" s="81" t="s">
        <v>1</v>
      </c>
      <c r="E52" s="81" t="s">
        <v>186</v>
      </c>
      <c r="F52" s="55">
        <f>2.2*24.1</f>
        <v>53.02000000000001</v>
      </c>
      <c r="G52" s="55">
        <f>'Tabulka-detailní přehled '!$I52+'Tabulka-detailní přehled '!$F52</f>
        <v>53.02000000000001</v>
      </c>
      <c r="N52" s="81">
        <f t="shared" si="1"/>
        <v>0</v>
      </c>
      <c r="O52" s="55">
        <f t="shared" si="0"/>
        <v>53.02000000000001</v>
      </c>
      <c r="P52" s="81" t="s">
        <v>114</v>
      </c>
      <c r="BA52" s="81">
        <v>2</v>
      </c>
      <c r="BS52" s="81">
        <v>5</v>
      </c>
      <c r="CI52" s="81">
        <v>1</v>
      </c>
      <c r="CK52" s="81"/>
      <c r="CT52" s="81">
        <v>1</v>
      </c>
      <c r="DM52" s="59"/>
    </row>
    <row r="53" spans="1:117" ht="15">
      <c r="A53" s="81">
        <v>2502</v>
      </c>
      <c r="B53" s="81" t="s">
        <v>113</v>
      </c>
      <c r="C53" s="81">
        <v>21</v>
      </c>
      <c r="D53" s="81" t="s">
        <v>1</v>
      </c>
      <c r="E53" s="81" t="s">
        <v>187</v>
      </c>
      <c r="F53" s="55">
        <v>50.9</v>
      </c>
      <c r="G53" s="55">
        <f>'Tabulka-detailní přehled '!$I53+'Tabulka-detailní přehled '!$F53</f>
        <v>53.3</v>
      </c>
      <c r="H53" s="81" t="s">
        <v>126</v>
      </c>
      <c r="I53" s="81">
        <v>2.4</v>
      </c>
      <c r="N53" s="81">
        <f t="shared" si="1"/>
        <v>0</v>
      </c>
      <c r="O53" s="55">
        <f t="shared" si="0"/>
        <v>53.3</v>
      </c>
      <c r="P53" s="81" t="s">
        <v>114</v>
      </c>
      <c r="AW53" s="81">
        <v>1</v>
      </c>
      <c r="BS53" s="81">
        <v>3</v>
      </c>
      <c r="CK53" s="81"/>
      <c r="CN53" s="81">
        <v>1</v>
      </c>
      <c r="DM53" s="59"/>
    </row>
    <row r="54" spans="1:117" ht="15">
      <c r="A54" s="81">
        <v>2503</v>
      </c>
      <c r="B54" s="81" t="s">
        <v>113</v>
      </c>
      <c r="C54" s="81">
        <v>21</v>
      </c>
      <c r="D54" s="81" t="s">
        <v>1</v>
      </c>
      <c r="E54" s="81" t="s">
        <v>188</v>
      </c>
      <c r="F54" s="55">
        <f>2.84*8.37+5.7*2.6+22.7*2.2+1.5*2.3</f>
        <v>91.9808</v>
      </c>
      <c r="G54" s="55">
        <f>'Tabulka-detailní přehled '!$I54+'Tabulka-detailní přehled '!$F54</f>
        <v>93.2593</v>
      </c>
      <c r="H54" s="81" t="s">
        <v>189</v>
      </c>
      <c r="I54" s="81">
        <f>0.4*2+0.87*0.55</f>
        <v>1.2785000000000002</v>
      </c>
      <c r="N54" s="81">
        <f t="shared" si="1"/>
        <v>0</v>
      </c>
      <c r="O54" s="56">
        <f t="shared" si="0"/>
        <v>93.2593</v>
      </c>
      <c r="P54" s="81" t="s">
        <v>114</v>
      </c>
      <c r="R54" s="81">
        <v>7</v>
      </c>
      <c r="Z54" s="81">
        <v>2</v>
      </c>
      <c r="AC54" s="81">
        <v>1</v>
      </c>
      <c r="BG54" s="81">
        <v>1</v>
      </c>
      <c r="BS54" s="81">
        <v>5</v>
      </c>
      <c r="CK54" s="81"/>
      <c r="CN54" s="81">
        <v>3</v>
      </c>
      <c r="CQ54" s="81">
        <v>5</v>
      </c>
      <c r="DM54" s="59"/>
    </row>
    <row r="55" spans="1:117" ht="15">
      <c r="A55" s="81">
        <v>2504</v>
      </c>
      <c r="B55" s="81" t="s">
        <v>113</v>
      </c>
      <c r="C55" s="81">
        <v>21</v>
      </c>
      <c r="D55" s="81" t="s">
        <v>1</v>
      </c>
      <c r="E55" s="81" t="s">
        <v>190</v>
      </c>
      <c r="F55" s="55">
        <f>5.6*2.17</f>
        <v>12.152</v>
      </c>
      <c r="G55" s="55">
        <f>'Tabulka-detailní přehled '!$I55+'Tabulka-detailní přehled '!$F55</f>
        <v>12.152</v>
      </c>
      <c r="N55" s="81">
        <f t="shared" si="1"/>
        <v>0</v>
      </c>
      <c r="O55" s="56">
        <f t="shared" si="0"/>
        <v>12.152</v>
      </c>
      <c r="P55" s="81" t="s">
        <v>114</v>
      </c>
      <c r="R55" s="81">
        <v>2</v>
      </c>
      <c r="BM55" s="81">
        <v>1</v>
      </c>
      <c r="CK55" s="81"/>
      <c r="DM55" s="59"/>
    </row>
    <row r="56" spans="1:117" ht="15">
      <c r="A56" s="81">
        <v>2505</v>
      </c>
      <c r="B56" s="81" t="s">
        <v>113</v>
      </c>
      <c r="C56" s="81">
        <v>21</v>
      </c>
      <c r="D56" s="81" t="s">
        <v>1</v>
      </c>
      <c r="F56" s="55">
        <v>13.2</v>
      </c>
      <c r="G56" s="55">
        <f>'Tabulka-detailní přehled '!$I56+'Tabulka-detailní přehled '!$F56</f>
        <v>13.2</v>
      </c>
      <c r="O56" s="56">
        <f t="shared" si="0"/>
        <v>13.2</v>
      </c>
      <c r="P56" s="81" t="s">
        <v>114</v>
      </c>
      <c r="X56" s="81">
        <v>1</v>
      </c>
      <c r="AN56" s="81">
        <v>2</v>
      </c>
      <c r="BN56" s="81">
        <v>3</v>
      </c>
      <c r="BO56" s="81">
        <v>1</v>
      </c>
      <c r="BS56" s="81">
        <v>2</v>
      </c>
      <c r="CK56" s="81">
        <v>1</v>
      </c>
      <c r="DM56" s="57"/>
    </row>
    <row r="57" spans="1:117" ht="15">
      <c r="A57" s="81">
        <v>2506</v>
      </c>
      <c r="B57" s="81" t="s">
        <v>113</v>
      </c>
      <c r="C57" s="81">
        <v>21</v>
      </c>
      <c r="D57" s="81" t="s">
        <v>1</v>
      </c>
      <c r="E57" s="81" t="s">
        <v>191</v>
      </c>
      <c r="F57" s="55">
        <v>4.4</v>
      </c>
      <c r="G57" s="55">
        <f>'Tabulka-detailní přehled '!$I57+'Tabulka-detailní přehled '!$F57</f>
        <v>4.4</v>
      </c>
      <c r="N57" s="81">
        <f>(K57*0.376)+(L57*0.48)+M57</f>
        <v>0</v>
      </c>
      <c r="O57" s="56">
        <f t="shared" si="0"/>
        <v>4.4</v>
      </c>
      <c r="P57" s="81" t="s">
        <v>114</v>
      </c>
      <c r="BH57" s="81">
        <v>1</v>
      </c>
      <c r="CB57" s="81">
        <v>1</v>
      </c>
      <c r="CK57" s="81"/>
      <c r="DM57" s="59"/>
    </row>
    <row r="58" spans="1:117" ht="15">
      <c r="A58" s="81">
        <v>2601</v>
      </c>
      <c r="B58" s="81" t="s">
        <v>116</v>
      </c>
      <c r="C58" s="81">
        <v>21</v>
      </c>
      <c r="D58" s="81" t="s">
        <v>1</v>
      </c>
      <c r="F58" s="55">
        <v>18</v>
      </c>
      <c r="G58" s="55">
        <f>'Tabulka-detailní přehled '!$I58+'Tabulka-detailní přehled '!$F58</f>
        <v>18</v>
      </c>
      <c r="O58" s="56">
        <f t="shared" si="0"/>
        <v>18</v>
      </c>
      <c r="P58" s="81" t="s">
        <v>114</v>
      </c>
      <c r="V58" s="81">
        <v>18</v>
      </c>
      <c r="CB58" s="81">
        <v>1</v>
      </c>
      <c r="CK58" s="81"/>
      <c r="DM58" s="57" t="s">
        <v>192</v>
      </c>
    </row>
    <row r="59" spans="1:117" ht="15">
      <c r="A59" s="81">
        <v>2602</v>
      </c>
      <c r="B59" s="81" t="s">
        <v>116</v>
      </c>
      <c r="C59" s="81">
        <v>31</v>
      </c>
      <c r="D59" s="81" t="s">
        <v>1</v>
      </c>
      <c r="E59" s="81" t="s">
        <v>193</v>
      </c>
      <c r="F59" s="55">
        <f>2*1.75+2*2+2*3.87+2*2+2*1.75</f>
        <v>22.740000000000002</v>
      </c>
      <c r="G59" s="55">
        <f>'Tabulka-detailní přehled '!$I59+'Tabulka-detailní přehled '!$F59</f>
        <v>22.740000000000002</v>
      </c>
      <c r="N59" s="81">
        <f>(K59*0.376)+(L59*0.48)+M59</f>
        <v>0</v>
      </c>
      <c r="O59" s="56">
        <f t="shared" si="0"/>
        <v>22.740000000000002</v>
      </c>
      <c r="P59" s="81" t="s">
        <v>114</v>
      </c>
      <c r="BR59" s="81">
        <v>2</v>
      </c>
      <c r="CK59" s="81"/>
      <c r="DM59" s="57"/>
    </row>
    <row r="60" spans="1:117" ht="15">
      <c r="A60" s="81">
        <v>2603</v>
      </c>
      <c r="B60" s="81" t="s">
        <v>116</v>
      </c>
      <c r="C60" s="81">
        <v>21</v>
      </c>
      <c r="D60" s="81" t="s">
        <v>1</v>
      </c>
      <c r="F60" s="55">
        <v>14.2</v>
      </c>
      <c r="G60" s="55">
        <f>'Tabulka-detailní přehled '!$I60+'Tabulka-detailní přehled '!$F60</f>
        <v>14.2</v>
      </c>
      <c r="O60" s="56">
        <f t="shared" si="0"/>
        <v>14.2</v>
      </c>
      <c r="P60" s="81" t="s">
        <v>114</v>
      </c>
      <c r="V60" s="81">
        <v>17.7</v>
      </c>
      <c r="BR60" s="81">
        <v>2</v>
      </c>
      <c r="CK60" s="81"/>
      <c r="DM60" s="57" t="s">
        <v>195</v>
      </c>
    </row>
    <row r="61" spans="1:117" ht="15">
      <c r="A61" s="81">
        <v>3010</v>
      </c>
      <c r="B61" s="81" t="s">
        <v>131</v>
      </c>
      <c r="C61" s="81">
        <v>31</v>
      </c>
      <c r="D61" s="81" t="s">
        <v>359</v>
      </c>
      <c r="E61" s="81" t="s">
        <v>196</v>
      </c>
      <c r="F61" s="55">
        <v>13.9</v>
      </c>
      <c r="G61" s="55">
        <f>'Tabulka-detailní přehled '!$I61+'Tabulka-detailní přehled '!$F61</f>
        <v>14.9</v>
      </c>
      <c r="H61" s="81" t="s">
        <v>126</v>
      </c>
      <c r="I61" s="81">
        <v>1</v>
      </c>
      <c r="N61" s="81">
        <f aca="true" t="shared" si="2" ref="N61:N107">(K61*0.376)+(L61*0.48)+M61</f>
        <v>0</v>
      </c>
      <c r="O61" s="55">
        <f t="shared" si="0"/>
        <v>14.9</v>
      </c>
      <c r="P61" s="81" t="s">
        <v>123</v>
      </c>
      <c r="R61" s="81">
        <v>1</v>
      </c>
      <c r="AK61" s="81">
        <v>3</v>
      </c>
      <c r="AQ61" s="81">
        <v>1</v>
      </c>
      <c r="AV61" s="81">
        <v>1</v>
      </c>
      <c r="BS61" s="81">
        <v>2</v>
      </c>
      <c r="CK61" s="81"/>
      <c r="DC61" s="81">
        <v>1</v>
      </c>
      <c r="DM61" s="59"/>
    </row>
    <row r="62" spans="1:117" ht="15">
      <c r="A62" s="81">
        <v>3020</v>
      </c>
      <c r="B62" s="81" t="s">
        <v>131</v>
      </c>
      <c r="C62" s="81">
        <v>31</v>
      </c>
      <c r="D62" s="81" t="s">
        <v>359</v>
      </c>
      <c r="E62" s="81" t="s">
        <v>197</v>
      </c>
      <c r="F62" s="55">
        <v>27.25</v>
      </c>
      <c r="G62" s="55">
        <f>'Tabulka-detailní přehled '!$I62+'Tabulka-detailní přehled '!$F62</f>
        <v>28.25</v>
      </c>
      <c r="H62" s="81" t="s">
        <v>126</v>
      </c>
      <c r="I62" s="81">
        <v>1</v>
      </c>
      <c r="N62" s="81">
        <f t="shared" si="2"/>
        <v>0</v>
      </c>
      <c r="O62" s="55">
        <f t="shared" si="0"/>
        <v>28.25</v>
      </c>
      <c r="P62" s="81" t="s">
        <v>123</v>
      </c>
      <c r="R62" s="81">
        <v>2</v>
      </c>
      <c r="AK62" s="81">
        <v>6</v>
      </c>
      <c r="AQ62" s="81">
        <v>1</v>
      </c>
      <c r="AV62" s="81">
        <v>1</v>
      </c>
      <c r="BV62" s="81">
        <v>1</v>
      </c>
      <c r="CK62" s="81"/>
      <c r="CV62" s="81">
        <v>2</v>
      </c>
      <c r="DM62" s="59"/>
    </row>
    <row r="63" spans="1:117" ht="15">
      <c r="A63" s="81">
        <v>3030</v>
      </c>
      <c r="B63" s="81" t="s">
        <v>131</v>
      </c>
      <c r="C63" s="81">
        <v>31</v>
      </c>
      <c r="D63" s="81" t="s">
        <v>359</v>
      </c>
      <c r="E63" s="81" t="s">
        <v>198</v>
      </c>
      <c r="F63" s="55">
        <v>15.1</v>
      </c>
      <c r="G63" s="55">
        <f>'Tabulka-detailní přehled '!$I63+'Tabulka-detailní přehled '!$F63</f>
        <v>16.1</v>
      </c>
      <c r="H63" s="81" t="s">
        <v>126</v>
      </c>
      <c r="I63" s="81">
        <v>1</v>
      </c>
      <c r="N63" s="81">
        <f t="shared" si="2"/>
        <v>0</v>
      </c>
      <c r="O63" s="55">
        <f t="shared" si="0"/>
        <v>16.1</v>
      </c>
      <c r="P63" s="81" t="s">
        <v>123</v>
      </c>
      <c r="R63" s="81">
        <v>1</v>
      </c>
      <c r="AK63" s="81">
        <v>3</v>
      </c>
      <c r="AQ63" s="81">
        <v>1</v>
      </c>
      <c r="BS63" s="81">
        <v>2</v>
      </c>
      <c r="CK63" s="81"/>
      <c r="CV63" s="81">
        <v>1</v>
      </c>
      <c r="DM63" s="59"/>
    </row>
    <row r="64" spans="1:117" ht="15">
      <c r="A64" s="81">
        <v>3040</v>
      </c>
      <c r="B64" s="81" t="s">
        <v>131</v>
      </c>
      <c r="C64" s="81">
        <v>31</v>
      </c>
      <c r="D64" s="81" t="s">
        <v>359</v>
      </c>
      <c r="E64" s="81" t="s">
        <v>199</v>
      </c>
      <c r="F64" s="55">
        <v>14.1</v>
      </c>
      <c r="G64" s="55">
        <f>'Tabulka-detailní přehled '!$I64+'Tabulka-detailní přehled '!$F64</f>
        <v>15.1</v>
      </c>
      <c r="H64" s="81" t="s">
        <v>126</v>
      </c>
      <c r="I64" s="81">
        <v>1</v>
      </c>
      <c r="N64" s="81">
        <f t="shared" si="2"/>
        <v>0</v>
      </c>
      <c r="O64" s="55">
        <f t="shared" si="0"/>
        <v>15.1</v>
      </c>
      <c r="P64" s="81" t="s">
        <v>123</v>
      </c>
      <c r="R64" s="81">
        <v>1</v>
      </c>
      <c r="AK64" s="81">
        <v>3</v>
      </c>
      <c r="AQ64" s="81">
        <v>1</v>
      </c>
      <c r="BS64" s="81">
        <v>2</v>
      </c>
      <c r="CK64" s="81"/>
      <c r="CV64" s="81">
        <v>1</v>
      </c>
      <c r="DM64" s="59"/>
    </row>
    <row r="65" spans="1:117" ht="15">
      <c r="A65" s="81">
        <v>3050</v>
      </c>
      <c r="B65" s="81" t="s">
        <v>131</v>
      </c>
      <c r="C65" s="81">
        <v>31</v>
      </c>
      <c r="D65" s="81" t="s">
        <v>359</v>
      </c>
      <c r="E65" s="81" t="s">
        <v>200</v>
      </c>
      <c r="F65" s="55">
        <v>26.15</v>
      </c>
      <c r="G65" s="55">
        <f>'Tabulka-detailní přehled '!$I65+'Tabulka-detailní přehled '!$F65</f>
        <v>26.15</v>
      </c>
      <c r="N65" s="81">
        <f t="shared" si="2"/>
        <v>0</v>
      </c>
      <c r="O65" s="55">
        <f t="shared" si="0"/>
        <v>26.15</v>
      </c>
      <c r="P65" s="81" t="s">
        <v>123</v>
      </c>
      <c r="R65" s="81">
        <v>2</v>
      </c>
      <c r="AK65" s="81">
        <v>6</v>
      </c>
      <c r="AQ65" s="81">
        <v>1</v>
      </c>
      <c r="BV65" s="81">
        <v>1</v>
      </c>
      <c r="CK65" s="81"/>
      <c r="CV65" s="81">
        <v>2</v>
      </c>
      <c r="DM65" s="59"/>
    </row>
    <row r="66" spans="1:117" ht="15">
      <c r="A66" s="81">
        <v>3060</v>
      </c>
      <c r="B66" s="81" t="s">
        <v>131</v>
      </c>
      <c r="C66" s="81">
        <v>31</v>
      </c>
      <c r="D66" s="81" t="s">
        <v>359</v>
      </c>
      <c r="E66" s="81" t="s">
        <v>201</v>
      </c>
      <c r="F66" s="55">
        <v>14.2</v>
      </c>
      <c r="G66" s="55">
        <f>'Tabulka-detailní přehled '!$I66+'Tabulka-detailní přehled '!$F66</f>
        <v>14.6</v>
      </c>
      <c r="H66" s="81" t="s">
        <v>126</v>
      </c>
      <c r="I66" s="81">
        <v>0.4</v>
      </c>
      <c r="N66" s="81">
        <f t="shared" si="2"/>
        <v>0</v>
      </c>
      <c r="O66" s="55">
        <f t="shared" si="0"/>
        <v>14.6</v>
      </c>
      <c r="P66" s="81" t="s">
        <v>123</v>
      </c>
      <c r="R66" s="81">
        <v>1</v>
      </c>
      <c r="AK66" s="81">
        <v>3</v>
      </c>
      <c r="AQ66" s="81">
        <v>1</v>
      </c>
      <c r="BT66" s="81">
        <v>1</v>
      </c>
      <c r="CK66" s="81"/>
      <c r="CV66" s="81">
        <v>1</v>
      </c>
      <c r="DM66" s="59"/>
    </row>
    <row r="67" spans="1:117" ht="15">
      <c r="A67" s="81">
        <v>3070</v>
      </c>
      <c r="B67" s="81" t="s">
        <v>131</v>
      </c>
      <c r="C67" s="81">
        <v>31</v>
      </c>
      <c r="D67" s="81" t="s">
        <v>359</v>
      </c>
      <c r="E67" s="81" t="s">
        <v>202</v>
      </c>
      <c r="F67" s="55">
        <v>27.7</v>
      </c>
      <c r="G67" s="55">
        <f>'Tabulka-detailní přehled '!$I67+'Tabulka-detailní přehled '!$F67</f>
        <v>28.099999999999998</v>
      </c>
      <c r="H67" s="81" t="s">
        <v>126</v>
      </c>
      <c r="I67" s="81">
        <v>0.4</v>
      </c>
      <c r="N67" s="81">
        <f t="shared" si="2"/>
        <v>0</v>
      </c>
      <c r="O67" s="55">
        <f aca="true" t="shared" si="3" ref="O67:O117">F67+I67-N67</f>
        <v>28.099999999999998</v>
      </c>
      <c r="P67" s="81" t="s">
        <v>123</v>
      </c>
      <c r="R67" s="81">
        <v>2</v>
      </c>
      <c r="AK67" s="81">
        <v>6</v>
      </c>
      <c r="AQ67" s="81">
        <v>1</v>
      </c>
      <c r="AV67" s="81">
        <v>1</v>
      </c>
      <c r="BS67" s="81">
        <v>1</v>
      </c>
      <c r="BT67" s="81">
        <v>2</v>
      </c>
      <c r="CK67" s="81"/>
      <c r="CV67" s="81">
        <v>2</v>
      </c>
      <c r="DM67" s="59"/>
    </row>
    <row r="68" spans="1:117" ht="15">
      <c r="A68" s="81">
        <v>3080</v>
      </c>
      <c r="B68" s="81" t="s">
        <v>131</v>
      </c>
      <c r="C68" s="81">
        <v>31</v>
      </c>
      <c r="D68" s="81" t="s">
        <v>359</v>
      </c>
      <c r="E68" s="81" t="s">
        <v>203</v>
      </c>
      <c r="F68" s="55">
        <v>25.75</v>
      </c>
      <c r="G68" s="55">
        <f>'Tabulka-detailní přehled '!$I68+'Tabulka-detailní přehled '!$F68</f>
        <v>26.15</v>
      </c>
      <c r="H68" s="81" t="s">
        <v>126</v>
      </c>
      <c r="I68" s="81">
        <v>0.4</v>
      </c>
      <c r="N68" s="81">
        <f t="shared" si="2"/>
        <v>0</v>
      </c>
      <c r="O68" s="55">
        <f t="shared" si="3"/>
        <v>26.15</v>
      </c>
      <c r="P68" s="81" t="s">
        <v>123</v>
      </c>
      <c r="R68" s="81">
        <v>2</v>
      </c>
      <c r="AK68" s="81">
        <v>6</v>
      </c>
      <c r="AQ68" s="81">
        <v>1</v>
      </c>
      <c r="BV68" s="81">
        <v>1</v>
      </c>
      <c r="CK68" s="81"/>
      <c r="CV68" s="81">
        <v>2</v>
      </c>
      <c r="DM68" s="59"/>
    </row>
    <row r="69" spans="1:117" ht="15">
      <c r="A69" s="81">
        <v>3090</v>
      </c>
      <c r="B69" s="81" t="s">
        <v>131</v>
      </c>
      <c r="C69" s="81">
        <v>31</v>
      </c>
      <c r="D69" s="81" t="s">
        <v>359</v>
      </c>
      <c r="E69" s="81" t="s">
        <v>204</v>
      </c>
      <c r="F69" s="55">
        <v>17.6</v>
      </c>
      <c r="G69" s="55">
        <f>'Tabulka-detailní přehled '!$I69+'Tabulka-detailní přehled '!$F69</f>
        <v>18</v>
      </c>
      <c r="H69" s="81" t="s">
        <v>126</v>
      </c>
      <c r="I69" s="81">
        <v>0.4</v>
      </c>
      <c r="N69" s="81">
        <f t="shared" si="2"/>
        <v>0</v>
      </c>
      <c r="O69" s="55">
        <f t="shared" si="3"/>
        <v>18</v>
      </c>
      <c r="P69" s="81" t="s">
        <v>123</v>
      </c>
      <c r="R69" s="81">
        <v>1</v>
      </c>
      <c r="AK69" s="81">
        <v>3</v>
      </c>
      <c r="AQ69" s="81">
        <v>1</v>
      </c>
      <c r="BT69" s="81">
        <v>1</v>
      </c>
      <c r="CK69" s="81"/>
      <c r="DC69" s="81">
        <v>1</v>
      </c>
      <c r="DM69" s="59"/>
    </row>
    <row r="70" spans="1:117" ht="15">
      <c r="A70" s="81">
        <v>3100</v>
      </c>
      <c r="B70" s="81" t="s">
        <v>131</v>
      </c>
      <c r="C70" s="81">
        <v>31</v>
      </c>
      <c r="D70" s="81" t="s">
        <v>359</v>
      </c>
      <c r="E70" s="81" t="s">
        <v>205</v>
      </c>
      <c r="F70" s="55">
        <v>7.8</v>
      </c>
      <c r="G70" s="55">
        <f>'Tabulka-detailní přehled '!$I70+'Tabulka-detailní přehled '!$F70</f>
        <v>8.8</v>
      </c>
      <c r="H70" s="81" t="s">
        <v>126</v>
      </c>
      <c r="I70" s="81">
        <v>1</v>
      </c>
      <c r="N70" s="81">
        <f t="shared" si="2"/>
        <v>0</v>
      </c>
      <c r="O70" s="55">
        <f t="shared" si="3"/>
        <v>8.8</v>
      </c>
      <c r="P70" s="81" t="s">
        <v>123</v>
      </c>
      <c r="R70" s="81">
        <v>1</v>
      </c>
      <c r="AK70" s="81">
        <v>3</v>
      </c>
      <c r="AQ70" s="81">
        <v>1</v>
      </c>
      <c r="AV70" s="81">
        <v>1</v>
      </c>
      <c r="BU70" s="81">
        <v>2</v>
      </c>
      <c r="CK70" s="81"/>
      <c r="DD70" s="81">
        <v>1</v>
      </c>
      <c r="DM70" s="59"/>
    </row>
    <row r="71" spans="1:117" ht="15">
      <c r="A71" s="81">
        <v>3110</v>
      </c>
      <c r="B71" s="81" t="s">
        <v>131</v>
      </c>
      <c r="C71" s="81">
        <v>31</v>
      </c>
      <c r="D71" s="81" t="s">
        <v>359</v>
      </c>
      <c r="E71" s="81" t="s">
        <v>206</v>
      </c>
      <c r="F71" s="55">
        <v>17.6</v>
      </c>
      <c r="G71" s="55">
        <f>'Tabulka-detailní přehled '!$I71+'Tabulka-detailní přehled '!$F71</f>
        <v>18.6</v>
      </c>
      <c r="H71" s="81" t="s">
        <v>126</v>
      </c>
      <c r="I71" s="81">
        <v>1</v>
      </c>
      <c r="N71" s="81">
        <f t="shared" si="2"/>
        <v>0</v>
      </c>
      <c r="O71" s="55">
        <f t="shared" si="3"/>
        <v>18.6</v>
      </c>
      <c r="P71" s="81" t="s">
        <v>123</v>
      </c>
      <c r="R71" s="81">
        <v>1</v>
      </c>
      <c r="AK71" s="81">
        <v>3</v>
      </c>
      <c r="BE71" s="81">
        <v>1</v>
      </c>
      <c r="BS71" s="81">
        <v>2</v>
      </c>
      <c r="CK71" s="81"/>
      <c r="CL71" s="81">
        <v>1</v>
      </c>
      <c r="DM71" s="59"/>
    </row>
    <row r="72" spans="1:117" ht="15">
      <c r="A72" s="81">
        <v>3120</v>
      </c>
      <c r="B72" s="81" t="s">
        <v>131</v>
      </c>
      <c r="C72" s="81">
        <v>31</v>
      </c>
      <c r="D72" s="81" t="s">
        <v>359</v>
      </c>
      <c r="E72" s="81" t="s">
        <v>207</v>
      </c>
      <c r="F72" s="55">
        <v>14.1</v>
      </c>
      <c r="G72" s="55">
        <f>'Tabulka-detailní přehled '!$I72+'Tabulka-detailní přehled '!$F72</f>
        <v>14.5</v>
      </c>
      <c r="H72" s="81" t="s">
        <v>126</v>
      </c>
      <c r="I72" s="81">
        <v>0.4</v>
      </c>
      <c r="N72" s="81">
        <f t="shared" si="2"/>
        <v>0</v>
      </c>
      <c r="O72" s="55">
        <f t="shared" si="3"/>
        <v>14.5</v>
      </c>
      <c r="P72" s="81" t="s">
        <v>123</v>
      </c>
      <c r="R72" s="81">
        <v>1</v>
      </c>
      <c r="AK72" s="81">
        <v>3</v>
      </c>
      <c r="AQ72" s="81">
        <v>1</v>
      </c>
      <c r="BS72" s="81">
        <v>2</v>
      </c>
      <c r="CF72" s="81">
        <v>1</v>
      </c>
      <c r="CK72" s="81"/>
      <c r="CL72" s="81">
        <v>1</v>
      </c>
      <c r="DM72" s="59"/>
    </row>
    <row r="73" spans="1:117" ht="15">
      <c r="A73" s="81">
        <v>3130</v>
      </c>
      <c r="B73" s="81" t="s">
        <v>131</v>
      </c>
      <c r="C73" s="81">
        <v>31</v>
      </c>
      <c r="D73" s="81" t="s">
        <v>359</v>
      </c>
      <c r="E73" s="81" t="s">
        <v>208</v>
      </c>
      <c r="F73" s="55">
        <v>25.9</v>
      </c>
      <c r="G73" s="55">
        <f>'Tabulka-detailní přehled '!$I73+'Tabulka-detailní přehled '!$F73</f>
        <v>25.9</v>
      </c>
      <c r="N73" s="81">
        <f t="shared" si="2"/>
        <v>0</v>
      </c>
      <c r="O73" s="55">
        <f t="shared" si="3"/>
        <v>25.9</v>
      </c>
      <c r="P73" s="81" t="s">
        <v>123</v>
      </c>
      <c r="R73" s="81">
        <v>2</v>
      </c>
      <c r="AK73" s="81">
        <v>6</v>
      </c>
      <c r="AQ73" s="81">
        <v>1</v>
      </c>
      <c r="BT73" s="81">
        <v>3</v>
      </c>
      <c r="CK73" s="81"/>
      <c r="CV73" s="81">
        <v>2</v>
      </c>
      <c r="DM73" s="59"/>
    </row>
    <row r="74" spans="1:117" ht="15">
      <c r="A74" s="81">
        <v>3140</v>
      </c>
      <c r="B74" s="81" t="s">
        <v>131</v>
      </c>
      <c r="C74" s="81">
        <v>31</v>
      </c>
      <c r="D74" s="81" t="s">
        <v>359</v>
      </c>
      <c r="E74" s="81" t="s">
        <v>209</v>
      </c>
      <c r="F74" s="55">
        <v>14.6</v>
      </c>
      <c r="G74" s="55">
        <f>'Tabulka-detailní přehled '!$I74+'Tabulka-detailní přehled '!$F74</f>
        <v>15</v>
      </c>
      <c r="H74" s="81" t="s">
        <v>126</v>
      </c>
      <c r="I74" s="81">
        <v>0.4</v>
      </c>
      <c r="N74" s="81">
        <f t="shared" si="2"/>
        <v>0</v>
      </c>
      <c r="O74" s="55">
        <f t="shared" si="3"/>
        <v>15</v>
      </c>
      <c r="P74" s="81" t="s">
        <v>123</v>
      </c>
      <c r="R74" s="81">
        <v>1</v>
      </c>
      <c r="AK74" s="81">
        <v>3</v>
      </c>
      <c r="AQ74" s="81">
        <v>1</v>
      </c>
      <c r="AV74" s="81">
        <v>1</v>
      </c>
      <c r="BS74" s="81">
        <v>2</v>
      </c>
      <c r="CK74" s="81"/>
      <c r="CL74" s="81">
        <v>1</v>
      </c>
      <c r="DM74" s="59"/>
    </row>
    <row r="75" spans="1:117" ht="15">
      <c r="A75" s="81">
        <v>3150</v>
      </c>
      <c r="B75" s="81" t="s">
        <v>131</v>
      </c>
      <c r="C75" s="81">
        <v>31</v>
      </c>
      <c r="D75" s="81" t="s">
        <v>359</v>
      </c>
      <c r="E75" s="81" t="s">
        <v>210</v>
      </c>
      <c r="F75" s="55">
        <v>29.6</v>
      </c>
      <c r="G75" s="55">
        <f>'Tabulka-detailní přehled '!$I75+'Tabulka-detailní přehled '!$F75</f>
        <v>30</v>
      </c>
      <c r="H75" s="81" t="s">
        <v>126</v>
      </c>
      <c r="I75" s="81">
        <v>0.4</v>
      </c>
      <c r="N75" s="81">
        <f t="shared" si="2"/>
        <v>0</v>
      </c>
      <c r="O75" s="55">
        <f t="shared" si="3"/>
        <v>30</v>
      </c>
      <c r="P75" s="81" t="s">
        <v>123</v>
      </c>
      <c r="R75" s="81">
        <v>2</v>
      </c>
      <c r="AK75" s="81">
        <v>0</v>
      </c>
      <c r="AP75" s="81">
        <v>1</v>
      </c>
      <c r="AR75" s="81">
        <v>1</v>
      </c>
      <c r="BS75" s="81">
        <v>4</v>
      </c>
      <c r="CK75" s="81"/>
      <c r="CV75" s="81">
        <v>2</v>
      </c>
      <c r="DM75" s="59"/>
    </row>
    <row r="76" spans="1:117" ht="15">
      <c r="A76" s="81">
        <v>3160</v>
      </c>
      <c r="B76" s="81" t="s">
        <v>150</v>
      </c>
      <c r="C76" s="81">
        <v>31</v>
      </c>
      <c r="D76" s="81" t="s">
        <v>1</v>
      </c>
      <c r="E76" s="81" t="s">
        <v>151</v>
      </c>
      <c r="F76" s="55">
        <v>13</v>
      </c>
      <c r="G76" s="55">
        <f>'Tabulka-detailní přehled '!$I76+'Tabulka-detailní přehled '!$F76</f>
        <v>13.4</v>
      </c>
      <c r="H76" s="81" t="s">
        <v>126</v>
      </c>
      <c r="I76" s="81">
        <v>0.4</v>
      </c>
      <c r="N76" s="81">
        <f t="shared" si="2"/>
        <v>0</v>
      </c>
      <c r="O76" s="55">
        <f t="shared" si="3"/>
        <v>13.4</v>
      </c>
      <c r="P76" s="81" t="s">
        <v>114</v>
      </c>
      <c r="R76" s="81">
        <v>1</v>
      </c>
      <c r="AK76" s="81">
        <v>3</v>
      </c>
      <c r="AZ76" s="81">
        <v>3</v>
      </c>
      <c r="CC76" s="81">
        <v>8</v>
      </c>
      <c r="CH76" s="81">
        <v>1</v>
      </c>
      <c r="CK76" s="81"/>
      <c r="CX76" s="81">
        <v>1</v>
      </c>
      <c r="DM76" s="59"/>
    </row>
    <row r="77" spans="1:117" ht="15">
      <c r="A77" s="81">
        <v>3170</v>
      </c>
      <c r="B77" s="81" t="s">
        <v>360</v>
      </c>
      <c r="C77" s="81">
        <v>31</v>
      </c>
      <c r="D77" s="81" t="s">
        <v>3</v>
      </c>
      <c r="E77" s="81" t="s">
        <v>153</v>
      </c>
      <c r="F77" s="55">
        <v>2.9</v>
      </c>
      <c r="G77" s="55">
        <f>'Tabulka-detailní přehled '!$I77+'Tabulka-detailní přehled '!$F77</f>
        <v>3.3</v>
      </c>
      <c r="H77" s="81" t="s">
        <v>126</v>
      </c>
      <c r="I77" s="81">
        <v>0.4</v>
      </c>
      <c r="N77" s="81">
        <f t="shared" si="2"/>
        <v>0</v>
      </c>
      <c r="O77" s="55">
        <f t="shared" si="3"/>
        <v>3.3</v>
      </c>
      <c r="P77" s="81" t="s">
        <v>114</v>
      </c>
      <c r="CB77" s="81">
        <v>1</v>
      </c>
      <c r="CK77" s="81"/>
      <c r="DM77" s="59"/>
    </row>
    <row r="78" spans="1:117" ht="15">
      <c r="A78" s="81">
        <v>3180</v>
      </c>
      <c r="B78" s="81" t="s">
        <v>131</v>
      </c>
      <c r="C78" s="81">
        <v>30</v>
      </c>
      <c r="D78" s="81" t="s">
        <v>359</v>
      </c>
      <c r="E78" s="81" t="s">
        <v>211</v>
      </c>
      <c r="F78" s="55">
        <v>16.5</v>
      </c>
      <c r="G78" s="55">
        <f>'Tabulka-detailní přehled '!$I78+'Tabulka-detailní přehled '!$F78</f>
        <v>16.9</v>
      </c>
      <c r="H78" s="81" t="s">
        <v>126</v>
      </c>
      <c r="I78" s="81">
        <v>0.4</v>
      </c>
      <c r="N78" s="81">
        <f t="shared" si="2"/>
        <v>0</v>
      </c>
      <c r="O78" s="55">
        <f t="shared" si="3"/>
        <v>16.9</v>
      </c>
      <c r="P78" s="81" t="s">
        <v>123</v>
      </c>
      <c r="R78" s="81">
        <v>1</v>
      </c>
      <c r="AK78" s="81">
        <v>3</v>
      </c>
      <c r="AQ78" s="81">
        <v>1</v>
      </c>
      <c r="BS78" s="81">
        <v>2</v>
      </c>
      <c r="CK78" s="81"/>
      <c r="CV78" s="81">
        <v>1</v>
      </c>
      <c r="DM78" s="59"/>
    </row>
    <row r="79" spans="1:117" ht="15">
      <c r="A79" s="81">
        <v>3190</v>
      </c>
      <c r="B79" s="81" t="s">
        <v>131</v>
      </c>
      <c r="C79" s="81">
        <v>30</v>
      </c>
      <c r="D79" s="81" t="s">
        <v>359</v>
      </c>
      <c r="E79" s="81" t="s">
        <v>212</v>
      </c>
      <c r="F79" s="55">
        <v>12.1</v>
      </c>
      <c r="G79" s="55">
        <f>'Tabulka-detailní přehled '!$I79+'Tabulka-detailní přehled '!$F79</f>
        <v>12.5</v>
      </c>
      <c r="H79" s="81" t="s">
        <v>126</v>
      </c>
      <c r="I79" s="81">
        <v>0.4</v>
      </c>
      <c r="N79" s="81">
        <f t="shared" si="2"/>
        <v>0</v>
      </c>
      <c r="O79" s="55">
        <f t="shared" si="3"/>
        <v>12.5</v>
      </c>
      <c r="P79" s="81" t="s">
        <v>123</v>
      </c>
      <c r="R79" s="81">
        <v>1</v>
      </c>
      <c r="AK79" s="81">
        <v>3</v>
      </c>
      <c r="AQ79" s="81">
        <v>1</v>
      </c>
      <c r="AV79" s="81">
        <v>1</v>
      </c>
      <c r="CK79" s="81"/>
      <c r="DM79" s="59"/>
    </row>
    <row r="80" spans="1:117" ht="15">
      <c r="A80" s="81">
        <v>3200</v>
      </c>
      <c r="B80" s="81" t="s">
        <v>131</v>
      </c>
      <c r="C80" s="81">
        <v>30</v>
      </c>
      <c r="D80" s="81" t="s">
        <v>359</v>
      </c>
      <c r="E80" s="81" t="s">
        <v>213</v>
      </c>
      <c r="F80" s="55">
        <v>27.5</v>
      </c>
      <c r="G80" s="55">
        <f>'Tabulka-detailní přehled '!$I80+'Tabulka-detailní přehled '!$F80</f>
        <v>27.9</v>
      </c>
      <c r="H80" s="81" t="s">
        <v>126</v>
      </c>
      <c r="I80" s="81">
        <v>0.4</v>
      </c>
      <c r="N80" s="81">
        <f t="shared" si="2"/>
        <v>0</v>
      </c>
      <c r="O80" s="55">
        <f t="shared" si="3"/>
        <v>27.9</v>
      </c>
      <c r="P80" s="81" t="s">
        <v>120</v>
      </c>
      <c r="R80" s="81">
        <v>2</v>
      </c>
      <c r="AK80" s="81">
        <v>6</v>
      </c>
      <c r="AQ80" s="81">
        <v>1</v>
      </c>
      <c r="BS80" s="81">
        <v>1</v>
      </c>
      <c r="BT80" s="81">
        <v>1</v>
      </c>
      <c r="CK80" s="81"/>
      <c r="CV80" s="81">
        <v>2</v>
      </c>
      <c r="DM80" s="59"/>
    </row>
    <row r="81" spans="1:117" ht="15">
      <c r="A81" s="81">
        <v>3210</v>
      </c>
      <c r="B81" s="81" t="s">
        <v>131</v>
      </c>
      <c r="C81" s="81">
        <v>31</v>
      </c>
      <c r="D81" s="81" t="s">
        <v>359</v>
      </c>
      <c r="E81" s="81" t="s">
        <v>214</v>
      </c>
      <c r="F81" s="55">
        <f>5*2.9</f>
        <v>14.5</v>
      </c>
      <c r="G81" s="55">
        <f>'Tabulka-detailní přehled '!$I81+'Tabulka-detailní přehled '!$F81</f>
        <v>14.9</v>
      </c>
      <c r="H81" s="81" t="s">
        <v>126</v>
      </c>
      <c r="I81" s="81">
        <v>0.4</v>
      </c>
      <c r="N81" s="81">
        <f t="shared" si="2"/>
        <v>0</v>
      </c>
      <c r="O81" s="55">
        <f t="shared" si="3"/>
        <v>14.9</v>
      </c>
      <c r="P81" s="81" t="s">
        <v>123</v>
      </c>
      <c r="R81" s="81">
        <v>1</v>
      </c>
      <c r="AK81" s="81">
        <v>3</v>
      </c>
      <c r="AP81" s="81">
        <v>1</v>
      </c>
      <c r="BT81" s="81">
        <v>1</v>
      </c>
      <c r="CK81" s="81"/>
      <c r="CV81" s="81">
        <v>1</v>
      </c>
      <c r="DM81" s="59"/>
    </row>
    <row r="82" spans="1:117" ht="15">
      <c r="A82" s="81">
        <v>3220</v>
      </c>
      <c r="B82" s="81" t="s">
        <v>131</v>
      </c>
      <c r="C82" s="81">
        <v>30</v>
      </c>
      <c r="D82" s="81" t="s">
        <v>359</v>
      </c>
      <c r="E82" s="81" t="s">
        <v>215</v>
      </c>
      <c r="F82" s="55">
        <v>27.6</v>
      </c>
      <c r="G82" s="55">
        <f>'Tabulka-detailní přehled '!$I82+'Tabulka-detailní přehled '!$F82</f>
        <v>28.400000000000002</v>
      </c>
      <c r="H82" s="81" t="s">
        <v>216</v>
      </c>
      <c r="I82" s="81">
        <v>0.8</v>
      </c>
      <c r="N82" s="81">
        <f t="shared" si="2"/>
        <v>0</v>
      </c>
      <c r="O82" s="55">
        <f t="shared" si="3"/>
        <v>28.400000000000002</v>
      </c>
      <c r="P82" s="81" t="s">
        <v>123</v>
      </c>
      <c r="R82" s="81">
        <v>2</v>
      </c>
      <c r="AK82" s="81">
        <v>6</v>
      </c>
      <c r="AQ82" s="81">
        <v>2</v>
      </c>
      <c r="BT82" s="81">
        <v>2</v>
      </c>
      <c r="CK82" s="81"/>
      <c r="CV82" s="81">
        <v>1</v>
      </c>
      <c r="DM82" s="59"/>
    </row>
    <row r="83" spans="1:117" ht="15">
      <c r="A83" s="81">
        <v>3230</v>
      </c>
      <c r="B83" s="81" t="s">
        <v>131</v>
      </c>
      <c r="C83" s="81">
        <v>31</v>
      </c>
      <c r="D83" s="81" t="s">
        <v>359</v>
      </c>
      <c r="E83" s="81" t="s">
        <v>217</v>
      </c>
      <c r="F83" s="55">
        <v>12.9</v>
      </c>
      <c r="G83" s="55">
        <f>'Tabulka-detailní přehled '!$I83+'Tabulka-detailní přehled '!$F83</f>
        <v>13.9</v>
      </c>
      <c r="H83" s="81" t="s">
        <v>126</v>
      </c>
      <c r="I83" s="81">
        <v>1</v>
      </c>
      <c r="N83" s="81">
        <f t="shared" si="2"/>
        <v>0</v>
      </c>
      <c r="O83" s="55">
        <f t="shared" si="3"/>
        <v>13.9</v>
      </c>
      <c r="P83" s="81" t="s">
        <v>123</v>
      </c>
      <c r="R83" s="81">
        <v>1</v>
      </c>
      <c r="AK83" s="81">
        <v>3</v>
      </c>
      <c r="AQ83" s="81">
        <v>1</v>
      </c>
      <c r="BS83" s="81">
        <v>1</v>
      </c>
      <c r="CK83" s="81"/>
      <c r="CV83" s="81">
        <v>1</v>
      </c>
      <c r="DM83" s="59"/>
    </row>
    <row r="84" spans="1:117" ht="15">
      <c r="A84" s="81">
        <v>3240</v>
      </c>
      <c r="B84" s="81" t="s">
        <v>131</v>
      </c>
      <c r="C84" s="81">
        <v>31</v>
      </c>
      <c r="D84" s="81" t="s">
        <v>1</v>
      </c>
      <c r="E84" s="81" t="s">
        <v>218</v>
      </c>
      <c r="F84" s="55">
        <v>26</v>
      </c>
      <c r="G84" s="55">
        <f>'Tabulka-detailní přehled '!$I84+'Tabulka-detailní přehled '!$F84</f>
        <v>26</v>
      </c>
      <c r="J84" s="81" t="s">
        <v>219</v>
      </c>
      <c r="N84" s="81">
        <f t="shared" si="2"/>
        <v>0</v>
      </c>
      <c r="O84" s="55">
        <f t="shared" si="3"/>
        <v>26</v>
      </c>
      <c r="P84" s="81" t="s">
        <v>123</v>
      </c>
      <c r="R84" s="81">
        <v>2</v>
      </c>
      <c r="AK84" s="81">
        <v>6</v>
      </c>
      <c r="AQ84" s="81">
        <v>1</v>
      </c>
      <c r="BT84" s="81">
        <v>1</v>
      </c>
      <c r="CK84" s="81"/>
      <c r="CX84" s="81">
        <v>2</v>
      </c>
      <c r="DM84" s="59"/>
    </row>
    <row r="85" spans="1:117" ht="15">
      <c r="A85" s="81">
        <v>3250</v>
      </c>
      <c r="B85" s="81" t="s">
        <v>131</v>
      </c>
      <c r="C85" s="81">
        <v>31</v>
      </c>
      <c r="D85" s="81" t="s">
        <v>1</v>
      </c>
      <c r="E85" s="81" t="s">
        <v>220</v>
      </c>
      <c r="F85" s="55">
        <v>15.6</v>
      </c>
      <c r="G85" s="55">
        <f>'Tabulka-detailní přehled '!$I85+'Tabulka-detailní přehled '!$F85</f>
        <v>15.6</v>
      </c>
      <c r="J85" s="81" t="s">
        <v>219</v>
      </c>
      <c r="N85" s="81">
        <f t="shared" si="2"/>
        <v>0</v>
      </c>
      <c r="O85" s="55">
        <f t="shared" si="3"/>
        <v>15.6</v>
      </c>
      <c r="P85" s="81" t="s">
        <v>123</v>
      </c>
      <c r="R85" s="81">
        <v>1</v>
      </c>
      <c r="AK85" s="81">
        <v>3</v>
      </c>
      <c r="AV85" s="81">
        <v>1</v>
      </c>
      <c r="BT85" s="81">
        <v>1</v>
      </c>
      <c r="CK85" s="81"/>
      <c r="CV85" s="81">
        <v>1</v>
      </c>
      <c r="DM85" s="59"/>
    </row>
    <row r="86" spans="1:117" ht="15">
      <c r="A86" s="81">
        <v>3260</v>
      </c>
      <c r="B86" s="81" t="s">
        <v>131</v>
      </c>
      <c r="C86" s="81">
        <v>31</v>
      </c>
      <c r="D86" s="81" t="s">
        <v>1</v>
      </c>
      <c r="E86" s="81" t="s">
        <v>221</v>
      </c>
      <c r="F86" s="55">
        <v>13.85</v>
      </c>
      <c r="G86" s="55">
        <f>'Tabulka-detailní přehled '!$I86+'Tabulka-detailní přehled '!$F86</f>
        <v>13.85</v>
      </c>
      <c r="J86" s="81" t="s">
        <v>219</v>
      </c>
      <c r="K86" s="81">
        <v>3</v>
      </c>
      <c r="N86" s="81">
        <f t="shared" si="2"/>
        <v>1.1280000000000001</v>
      </c>
      <c r="O86" s="55">
        <f t="shared" si="3"/>
        <v>12.722</v>
      </c>
      <c r="P86" s="81" t="s">
        <v>123</v>
      </c>
      <c r="R86" s="81">
        <v>1</v>
      </c>
      <c r="AK86" s="81">
        <v>3</v>
      </c>
      <c r="AV86" s="81">
        <v>1</v>
      </c>
      <c r="BT86" s="81">
        <v>1</v>
      </c>
      <c r="CK86" s="81"/>
      <c r="CV86" s="81">
        <v>1</v>
      </c>
      <c r="DM86" s="59"/>
    </row>
    <row r="87" spans="1:117" ht="15">
      <c r="A87" s="81">
        <v>3270</v>
      </c>
      <c r="B87" s="81" t="s">
        <v>131</v>
      </c>
      <c r="C87" s="81">
        <v>31</v>
      </c>
      <c r="D87" s="81" t="s">
        <v>1</v>
      </c>
      <c r="E87" s="81" t="s">
        <v>222</v>
      </c>
      <c r="F87" s="55">
        <f>0.98*5.08</f>
        <v>4.9784</v>
      </c>
      <c r="G87" s="55">
        <f>'Tabulka-detailní přehled '!$I87+'Tabulka-detailní přehled '!$F87</f>
        <v>4.9784</v>
      </c>
      <c r="J87" s="81" t="s">
        <v>219</v>
      </c>
      <c r="K87" s="81">
        <v>4</v>
      </c>
      <c r="N87" s="81">
        <f t="shared" si="2"/>
        <v>1.504</v>
      </c>
      <c r="O87" s="55">
        <f t="shared" si="3"/>
        <v>3.4743999999999997</v>
      </c>
      <c r="P87" s="81" t="s">
        <v>123</v>
      </c>
      <c r="R87" s="81">
        <v>1</v>
      </c>
      <c r="AK87" s="81">
        <v>3</v>
      </c>
      <c r="AV87" s="81">
        <v>1</v>
      </c>
      <c r="BS87" s="81">
        <v>1</v>
      </c>
      <c r="CK87" s="81"/>
      <c r="DC87" s="81">
        <v>1</v>
      </c>
      <c r="DM87" s="59"/>
    </row>
    <row r="88" spans="1:117" ht="15">
      <c r="A88" s="81">
        <v>3280</v>
      </c>
      <c r="B88" s="81" t="s">
        <v>131</v>
      </c>
      <c r="C88" s="81">
        <v>31</v>
      </c>
      <c r="D88" s="81" t="s">
        <v>1</v>
      </c>
      <c r="E88" s="81" t="s">
        <v>223</v>
      </c>
      <c r="F88" s="55">
        <f>5.96*2.41</f>
        <v>14.3636</v>
      </c>
      <c r="G88" s="55">
        <f>'Tabulka-detailní přehled '!$I88+'Tabulka-detailní přehled '!$F88</f>
        <v>14.3636</v>
      </c>
      <c r="J88" s="81" t="s">
        <v>219</v>
      </c>
      <c r="K88" s="81">
        <v>2</v>
      </c>
      <c r="N88" s="81">
        <f t="shared" si="2"/>
        <v>0.752</v>
      </c>
      <c r="O88" s="55">
        <f t="shared" si="3"/>
        <v>13.6116</v>
      </c>
      <c r="P88" s="81" t="s">
        <v>123</v>
      </c>
      <c r="R88" s="81">
        <v>2</v>
      </c>
      <c r="AK88" s="81">
        <v>6</v>
      </c>
      <c r="AP88" s="81">
        <v>1</v>
      </c>
      <c r="AV88" s="81">
        <v>1</v>
      </c>
      <c r="BT88" s="81">
        <v>1</v>
      </c>
      <c r="CK88" s="81"/>
      <c r="DF88" s="81">
        <v>2</v>
      </c>
      <c r="DM88" s="59"/>
    </row>
    <row r="89" spans="1:117" ht="15">
      <c r="A89" s="81">
        <v>3290</v>
      </c>
      <c r="B89" s="81" t="s">
        <v>150</v>
      </c>
      <c r="C89" s="81">
        <v>31</v>
      </c>
      <c r="D89" s="81" t="s">
        <v>1</v>
      </c>
      <c r="E89" s="81" t="s">
        <v>171</v>
      </c>
      <c r="F89" s="55">
        <v>13.2</v>
      </c>
      <c r="G89" s="55">
        <f>'Tabulka-detailní přehled '!$I89+'Tabulka-detailní přehled '!$F89</f>
        <v>13.2</v>
      </c>
      <c r="N89" s="81">
        <f t="shared" si="2"/>
        <v>0</v>
      </c>
      <c r="O89" s="55">
        <f t="shared" si="3"/>
        <v>13.2</v>
      </c>
      <c r="P89" s="81" t="s">
        <v>114</v>
      </c>
      <c r="R89" s="81">
        <v>1</v>
      </c>
      <c r="AK89" s="81">
        <v>3</v>
      </c>
      <c r="BA89" s="81">
        <v>4</v>
      </c>
      <c r="CC89" s="81">
        <v>9</v>
      </c>
      <c r="CH89" s="81" t="s">
        <v>224</v>
      </c>
      <c r="CK89" s="81"/>
      <c r="DA89" s="81">
        <v>1</v>
      </c>
      <c r="DM89" s="59"/>
    </row>
    <row r="90" spans="1:117" ht="15">
      <c r="A90" s="81">
        <v>3300</v>
      </c>
      <c r="B90" s="81" t="s">
        <v>131</v>
      </c>
      <c r="C90" s="81">
        <v>31</v>
      </c>
      <c r="D90" s="81" t="s">
        <v>1</v>
      </c>
      <c r="E90" s="81" t="s">
        <v>225</v>
      </c>
      <c r="F90" s="55">
        <v>27</v>
      </c>
      <c r="G90" s="55">
        <f>'Tabulka-detailní přehled '!$I90+'Tabulka-detailní přehled '!$F90</f>
        <v>28</v>
      </c>
      <c r="H90" s="81" t="s">
        <v>126</v>
      </c>
      <c r="I90" s="81">
        <v>1</v>
      </c>
      <c r="N90" s="81">
        <f t="shared" si="2"/>
        <v>0</v>
      </c>
      <c r="O90" s="55">
        <f t="shared" si="3"/>
        <v>28</v>
      </c>
      <c r="P90" s="81" t="s">
        <v>123</v>
      </c>
      <c r="R90" s="81">
        <v>2</v>
      </c>
      <c r="AK90" s="81">
        <v>6</v>
      </c>
      <c r="BH90" s="81">
        <v>1</v>
      </c>
      <c r="BT90" s="81">
        <v>2</v>
      </c>
      <c r="CH90" s="81">
        <v>1</v>
      </c>
      <c r="CK90" s="81"/>
      <c r="CV90" s="81">
        <v>2</v>
      </c>
      <c r="DM90" s="59"/>
    </row>
    <row r="91" spans="1:117" ht="15">
      <c r="A91" s="81">
        <v>3310</v>
      </c>
      <c r="B91" s="81" t="s">
        <v>131</v>
      </c>
      <c r="C91" s="81">
        <v>31</v>
      </c>
      <c r="D91" s="81" t="s">
        <v>1</v>
      </c>
      <c r="E91" s="81" t="s">
        <v>226</v>
      </c>
      <c r="F91" s="55">
        <v>17.1</v>
      </c>
      <c r="G91" s="55">
        <f>'Tabulka-detailní přehled '!$I91+'Tabulka-detailní přehled '!$F91</f>
        <v>18.400000000000002</v>
      </c>
      <c r="H91" s="81" t="s">
        <v>126</v>
      </c>
      <c r="I91" s="81">
        <f>1*1.3</f>
        <v>1.3</v>
      </c>
      <c r="J91" s="81" t="s">
        <v>227</v>
      </c>
      <c r="M91" s="81">
        <v>0.26</v>
      </c>
      <c r="N91" s="81">
        <f t="shared" si="2"/>
        <v>0.26</v>
      </c>
      <c r="O91" s="55">
        <f t="shared" si="3"/>
        <v>18.14</v>
      </c>
      <c r="P91" s="81" t="s">
        <v>123</v>
      </c>
      <c r="R91" s="81">
        <v>1</v>
      </c>
      <c r="AK91" s="81">
        <v>3</v>
      </c>
      <c r="AV91" s="81">
        <v>1</v>
      </c>
      <c r="BH91" s="81">
        <v>1</v>
      </c>
      <c r="BT91" s="81">
        <v>1</v>
      </c>
      <c r="CH91" s="81">
        <v>1</v>
      </c>
      <c r="CK91" s="81"/>
      <c r="CL91" s="81">
        <v>1</v>
      </c>
      <c r="DM91" s="59"/>
    </row>
    <row r="92" spans="1:117" ht="15">
      <c r="A92" s="81">
        <v>3320</v>
      </c>
      <c r="B92" s="81" t="s">
        <v>131</v>
      </c>
      <c r="C92" s="81">
        <v>31</v>
      </c>
      <c r="D92" s="81" t="s">
        <v>1</v>
      </c>
      <c r="E92" s="81" t="s">
        <v>228</v>
      </c>
      <c r="F92" s="55">
        <f>2.25*5.6</f>
        <v>12.6</v>
      </c>
      <c r="G92" s="55">
        <f>'Tabulka-detailní přehled '!$I92+'Tabulka-detailní přehled '!$F92</f>
        <v>13.9</v>
      </c>
      <c r="H92" s="81" t="s">
        <v>126</v>
      </c>
      <c r="I92" s="81">
        <f>1.3*1</f>
        <v>1.3</v>
      </c>
      <c r="N92" s="81">
        <f t="shared" si="2"/>
        <v>0</v>
      </c>
      <c r="O92" s="55">
        <f t="shared" si="3"/>
        <v>13.9</v>
      </c>
      <c r="P92" s="81" t="s">
        <v>123</v>
      </c>
      <c r="R92" s="81">
        <v>1</v>
      </c>
      <c r="AK92" s="81">
        <v>3</v>
      </c>
      <c r="AV92" s="81">
        <v>1</v>
      </c>
      <c r="BH92" s="81">
        <v>1</v>
      </c>
      <c r="BT92" s="81">
        <v>1</v>
      </c>
      <c r="CK92" s="81"/>
      <c r="CX92" s="81">
        <v>1</v>
      </c>
      <c r="DM92" s="59"/>
    </row>
    <row r="93" spans="1:117" ht="15">
      <c r="A93" s="81">
        <v>3330</v>
      </c>
      <c r="B93" s="81" t="s">
        <v>131</v>
      </c>
      <c r="C93" s="81">
        <v>31</v>
      </c>
      <c r="D93" s="81" t="s">
        <v>1</v>
      </c>
      <c r="E93" s="81" t="s">
        <v>229</v>
      </c>
      <c r="F93" s="55">
        <v>15.1</v>
      </c>
      <c r="G93" s="55">
        <f>'Tabulka-detailní přehled '!$I93+'Tabulka-detailní přehled '!$F93</f>
        <v>15.1</v>
      </c>
      <c r="N93" s="81">
        <f t="shared" si="2"/>
        <v>0</v>
      </c>
      <c r="O93" s="55">
        <f t="shared" si="3"/>
        <v>15.1</v>
      </c>
      <c r="P93" s="81" t="s">
        <v>123</v>
      </c>
      <c r="R93" s="81">
        <v>1</v>
      </c>
      <c r="AK93" s="81">
        <v>3</v>
      </c>
      <c r="BS93" s="81">
        <v>1</v>
      </c>
      <c r="CK93" s="81"/>
      <c r="CX93" s="81">
        <v>1</v>
      </c>
      <c r="DM93" s="59"/>
    </row>
    <row r="94" spans="1:117" ht="15">
      <c r="A94" s="81">
        <v>3340</v>
      </c>
      <c r="B94" s="81" t="s">
        <v>152</v>
      </c>
      <c r="C94" s="81">
        <v>31</v>
      </c>
      <c r="D94" s="81" t="s">
        <v>3</v>
      </c>
      <c r="E94" s="81" t="s">
        <v>230</v>
      </c>
      <c r="F94" s="55">
        <v>6.2</v>
      </c>
      <c r="G94" s="55">
        <f>'Tabulka-detailní přehled '!$I94+'Tabulka-detailní přehled '!$F94</f>
        <v>6.6000000000000005</v>
      </c>
      <c r="H94" s="81" t="s">
        <v>126</v>
      </c>
      <c r="I94" s="81">
        <v>0.4</v>
      </c>
      <c r="N94" s="81">
        <f t="shared" si="2"/>
        <v>0</v>
      </c>
      <c r="O94" s="55">
        <f t="shared" si="3"/>
        <v>6.6000000000000005</v>
      </c>
      <c r="P94" s="81" t="s">
        <v>120</v>
      </c>
      <c r="Y94" s="81">
        <v>1</v>
      </c>
      <c r="BH94" s="81">
        <v>1</v>
      </c>
      <c r="BS94" s="81">
        <v>1</v>
      </c>
      <c r="CK94" s="81"/>
      <c r="DE94" s="81">
        <v>1</v>
      </c>
      <c r="DM94" s="59"/>
    </row>
    <row r="95" spans="1:117" ht="15">
      <c r="A95" s="81">
        <v>3350</v>
      </c>
      <c r="B95" s="81" t="s">
        <v>150</v>
      </c>
      <c r="C95" s="81">
        <v>31</v>
      </c>
      <c r="D95" s="81" t="s">
        <v>1</v>
      </c>
      <c r="E95" s="81" t="s">
        <v>231</v>
      </c>
      <c r="F95" s="55">
        <f>2.4*6</f>
        <v>14.399999999999999</v>
      </c>
      <c r="G95" s="55">
        <f>'Tabulka-detailní přehled '!$I95+'Tabulka-detailní přehled '!$F95</f>
        <v>14.399999999999999</v>
      </c>
      <c r="N95" s="81">
        <f t="shared" si="2"/>
        <v>0</v>
      </c>
      <c r="O95" s="55">
        <f t="shared" si="3"/>
        <v>14.399999999999999</v>
      </c>
      <c r="P95" s="81" t="s">
        <v>114</v>
      </c>
      <c r="W95" s="81">
        <v>1</v>
      </c>
      <c r="AM95" s="81">
        <v>2</v>
      </c>
      <c r="AV95" s="81">
        <v>1</v>
      </c>
      <c r="BA95" s="81">
        <v>5</v>
      </c>
      <c r="CA95" s="81">
        <v>5</v>
      </c>
      <c r="CH95" s="81">
        <v>1</v>
      </c>
      <c r="CI95" s="81">
        <v>1</v>
      </c>
      <c r="CK95" s="81"/>
      <c r="CS95" s="81">
        <v>1</v>
      </c>
      <c r="DM95" s="59"/>
    </row>
    <row r="96" spans="1:117" ht="15">
      <c r="A96" s="81">
        <v>3360</v>
      </c>
      <c r="B96" s="81" t="s">
        <v>131</v>
      </c>
      <c r="C96" s="81">
        <v>31</v>
      </c>
      <c r="D96" s="81" t="s">
        <v>1</v>
      </c>
      <c r="E96" s="81" t="s">
        <v>232</v>
      </c>
      <c r="F96" s="55">
        <v>42.9</v>
      </c>
      <c r="G96" s="55">
        <f>'Tabulka-detailní přehled '!$I96+'Tabulka-detailní přehled '!$F96</f>
        <v>42.9</v>
      </c>
      <c r="N96" s="81">
        <f t="shared" si="2"/>
        <v>0</v>
      </c>
      <c r="O96" s="55">
        <f t="shared" si="3"/>
        <v>42.9</v>
      </c>
      <c r="P96" s="81" t="s">
        <v>123</v>
      </c>
      <c r="W96" s="81">
        <v>4</v>
      </c>
      <c r="AM96" s="81">
        <v>8</v>
      </c>
      <c r="BS96" s="81">
        <v>6</v>
      </c>
      <c r="CK96" s="81"/>
      <c r="CL96" s="81">
        <v>1</v>
      </c>
      <c r="CY96" s="81">
        <v>1</v>
      </c>
      <c r="DA96" s="81">
        <v>1</v>
      </c>
      <c r="DM96" s="59"/>
    </row>
    <row r="97" spans="1:117" ht="15">
      <c r="A97" s="81">
        <v>3370</v>
      </c>
      <c r="B97" s="81" t="s">
        <v>131</v>
      </c>
      <c r="C97" s="81">
        <v>31</v>
      </c>
      <c r="D97" s="81" t="s">
        <v>359</v>
      </c>
      <c r="E97" s="81" t="s">
        <v>233</v>
      </c>
      <c r="F97" s="55">
        <v>15.6</v>
      </c>
      <c r="G97" s="55">
        <f>'Tabulka-detailní přehled '!$I97+'Tabulka-detailní přehled '!$F97</f>
        <v>15.6</v>
      </c>
      <c r="J97" s="81" t="s">
        <v>219</v>
      </c>
      <c r="K97" s="81">
        <v>5</v>
      </c>
      <c r="L97" s="81">
        <v>1</v>
      </c>
      <c r="N97" s="81">
        <f t="shared" si="2"/>
        <v>2.36</v>
      </c>
      <c r="O97" s="55">
        <f t="shared" si="3"/>
        <v>13.24</v>
      </c>
      <c r="P97" s="81" t="s">
        <v>123</v>
      </c>
      <c r="U97" s="81">
        <v>2</v>
      </c>
      <c r="AL97" s="81">
        <v>1</v>
      </c>
      <c r="AV97" s="81">
        <v>1</v>
      </c>
      <c r="BS97" s="81">
        <v>2</v>
      </c>
      <c r="CK97" s="81"/>
      <c r="CT97" s="81">
        <v>1</v>
      </c>
      <c r="CZ97" s="81">
        <v>1</v>
      </c>
      <c r="DM97" s="59"/>
    </row>
    <row r="98" spans="1:117" ht="15">
      <c r="A98" s="81">
        <v>3380</v>
      </c>
      <c r="B98" s="81" t="s">
        <v>131</v>
      </c>
      <c r="C98" s="81">
        <v>31</v>
      </c>
      <c r="D98" s="81" t="s">
        <v>359</v>
      </c>
      <c r="E98" s="81" t="s">
        <v>234</v>
      </c>
      <c r="F98" s="55">
        <v>17.8</v>
      </c>
      <c r="G98" s="55">
        <f>'Tabulka-detailní přehled '!$I98+'Tabulka-detailní přehled '!$F98</f>
        <v>17.8</v>
      </c>
      <c r="J98" s="81" t="s">
        <v>182</v>
      </c>
      <c r="M98" s="81">
        <v>0.23</v>
      </c>
      <c r="N98" s="81">
        <f t="shared" si="2"/>
        <v>0.23</v>
      </c>
      <c r="O98" s="55">
        <f t="shared" si="3"/>
        <v>17.57</v>
      </c>
      <c r="P98" s="81" t="s">
        <v>123</v>
      </c>
      <c r="U98" s="81">
        <v>2</v>
      </c>
      <c r="BU98" s="81">
        <v>2</v>
      </c>
      <c r="CH98" s="81">
        <v>1</v>
      </c>
      <c r="CK98" s="81">
        <v>1</v>
      </c>
      <c r="CZ98" s="81">
        <v>1</v>
      </c>
      <c r="DM98" s="59"/>
    </row>
    <row r="99" spans="1:117" ht="15">
      <c r="A99" s="81">
        <v>3390</v>
      </c>
      <c r="B99" s="81" t="s">
        <v>131</v>
      </c>
      <c r="C99" s="81">
        <v>31</v>
      </c>
      <c r="D99" s="81" t="s">
        <v>359</v>
      </c>
      <c r="E99" s="81" t="s">
        <v>235</v>
      </c>
      <c r="F99" s="55">
        <v>25.8</v>
      </c>
      <c r="G99" s="55">
        <f>'Tabulka-detailní přehled '!$I99+'Tabulka-detailní přehled '!$F99</f>
        <v>25.8</v>
      </c>
      <c r="N99" s="81">
        <f t="shared" si="2"/>
        <v>0</v>
      </c>
      <c r="O99" s="55">
        <f t="shared" si="3"/>
        <v>25.8</v>
      </c>
      <c r="P99" s="81" t="s">
        <v>123</v>
      </c>
      <c r="R99" s="81">
        <v>1</v>
      </c>
      <c r="AK99" s="81">
        <v>3</v>
      </c>
      <c r="AL99" s="81">
        <v>1</v>
      </c>
      <c r="AV99" s="81">
        <v>1</v>
      </c>
      <c r="BS99" s="81">
        <v>3</v>
      </c>
      <c r="CH99" s="81">
        <v>1</v>
      </c>
      <c r="CK99" s="81"/>
      <c r="DB99" s="81">
        <v>1</v>
      </c>
      <c r="DM99" s="59"/>
    </row>
    <row r="100" spans="1:117" ht="15">
      <c r="A100" s="81">
        <v>3501</v>
      </c>
      <c r="B100" s="81" t="s">
        <v>113</v>
      </c>
      <c r="C100" s="81">
        <v>31</v>
      </c>
      <c r="D100" s="81" t="s">
        <v>1</v>
      </c>
      <c r="E100" s="81" t="s">
        <v>236</v>
      </c>
      <c r="F100" s="55">
        <f>18.9*2.15</f>
        <v>40.635</v>
      </c>
      <c r="G100" s="55">
        <f>'Tabulka-detailní přehled '!$I100+'Tabulka-detailní přehled '!$F100</f>
        <v>40.635</v>
      </c>
      <c r="N100" s="81">
        <f t="shared" si="2"/>
        <v>0</v>
      </c>
      <c r="O100" s="55">
        <f t="shared" si="3"/>
        <v>40.635</v>
      </c>
      <c r="P100" s="81" t="s">
        <v>120</v>
      </c>
      <c r="BA100" s="81">
        <v>1</v>
      </c>
      <c r="BS100" s="81">
        <v>2</v>
      </c>
      <c r="CI100" s="81">
        <v>1</v>
      </c>
      <c r="CK100" s="81"/>
      <c r="DM100" s="59"/>
    </row>
    <row r="101" spans="1:117" ht="15">
      <c r="A101" s="81">
        <v>3502</v>
      </c>
      <c r="B101" s="81" t="s">
        <v>113</v>
      </c>
      <c r="C101" s="81">
        <v>31</v>
      </c>
      <c r="D101" s="81" t="s">
        <v>1</v>
      </c>
      <c r="E101" s="81" t="s">
        <v>237</v>
      </c>
      <c r="F101" s="55">
        <f>3.4*2.15</f>
        <v>7.31</v>
      </c>
      <c r="G101" s="55">
        <f>'Tabulka-detailní přehled '!$I101+'Tabulka-detailní přehled '!$F101</f>
        <v>8.11</v>
      </c>
      <c r="H101" s="81" t="s">
        <v>126</v>
      </c>
      <c r="I101" s="81">
        <f>0.4*2</f>
        <v>0.8</v>
      </c>
      <c r="N101" s="81">
        <f t="shared" si="2"/>
        <v>0</v>
      </c>
      <c r="O101" s="55">
        <f t="shared" si="3"/>
        <v>8.11</v>
      </c>
      <c r="P101" s="81" t="s">
        <v>120</v>
      </c>
      <c r="BS101" s="81">
        <v>1</v>
      </c>
      <c r="CK101" s="81"/>
      <c r="CW101" s="81">
        <v>6</v>
      </c>
      <c r="DM101" s="59"/>
    </row>
    <row r="102" spans="1:117" ht="15">
      <c r="A102" s="81">
        <v>3503</v>
      </c>
      <c r="B102" s="81" t="s">
        <v>113</v>
      </c>
      <c r="C102" s="81">
        <v>31</v>
      </c>
      <c r="D102" s="81" t="s">
        <v>1</v>
      </c>
      <c r="E102" s="81" t="s">
        <v>238</v>
      </c>
      <c r="F102" s="55">
        <f>2.15*13.7</f>
        <v>29.455</v>
      </c>
      <c r="G102" s="55">
        <f>'Tabulka-detailní přehled '!$I102+'Tabulka-detailní přehled '!$F102</f>
        <v>29.455</v>
      </c>
      <c r="N102" s="81">
        <f t="shared" si="2"/>
        <v>0</v>
      </c>
      <c r="O102" s="55">
        <f t="shared" si="3"/>
        <v>29.455</v>
      </c>
      <c r="P102" s="81" t="s">
        <v>114</v>
      </c>
      <c r="AA102" s="81">
        <v>1</v>
      </c>
      <c r="BS102" s="81">
        <v>2</v>
      </c>
      <c r="CK102" s="81"/>
      <c r="CN102" s="81">
        <v>1</v>
      </c>
      <c r="DM102" s="59"/>
    </row>
    <row r="103" spans="1:117" ht="15">
      <c r="A103" s="81">
        <v>3504</v>
      </c>
      <c r="B103" s="81" t="s">
        <v>113</v>
      </c>
      <c r="C103" s="81">
        <v>31</v>
      </c>
      <c r="D103" s="81" t="s">
        <v>1</v>
      </c>
      <c r="E103" s="81" t="s">
        <v>187</v>
      </c>
      <c r="F103" s="55">
        <f>4.85*10.5</f>
        <v>50.925</v>
      </c>
      <c r="G103" s="55">
        <f>'Tabulka-detailní přehled '!$I103+'Tabulka-detailní přehled '!$F103</f>
        <v>50.925</v>
      </c>
      <c r="N103" s="81">
        <f t="shared" si="2"/>
        <v>0</v>
      </c>
      <c r="O103" s="55">
        <f t="shared" si="3"/>
        <v>50.925</v>
      </c>
      <c r="P103" s="81" t="s">
        <v>114</v>
      </c>
      <c r="AA103" s="81">
        <v>2</v>
      </c>
      <c r="BI103" s="81">
        <v>2</v>
      </c>
      <c r="BS103" s="81">
        <v>2</v>
      </c>
      <c r="CK103" s="81"/>
      <c r="CN103" s="81">
        <v>1</v>
      </c>
      <c r="DM103" s="59"/>
    </row>
    <row r="104" spans="1:117" ht="15">
      <c r="A104" s="81">
        <v>3505</v>
      </c>
      <c r="B104" s="81" t="s">
        <v>113</v>
      </c>
      <c r="C104" s="81">
        <v>31</v>
      </c>
      <c r="D104" s="81" t="s">
        <v>1</v>
      </c>
      <c r="E104" s="81" t="s">
        <v>239</v>
      </c>
      <c r="F104" s="55">
        <f>2.4*19.7+1.5*2.3+8.6*2.4</f>
        <v>71.36999999999999</v>
      </c>
      <c r="G104" s="55">
        <f>'Tabulka-detailní přehled '!$I104+'Tabulka-detailní přehled '!$F104</f>
        <v>72.64849999999998</v>
      </c>
      <c r="H104" s="81" t="s">
        <v>189</v>
      </c>
      <c r="I104" s="81">
        <f>(0.4*2)+(0.87*0.55)</f>
        <v>1.2785000000000002</v>
      </c>
      <c r="N104" s="81">
        <f t="shared" si="2"/>
        <v>0</v>
      </c>
      <c r="O104" s="55">
        <f t="shared" si="3"/>
        <v>72.64849999999998</v>
      </c>
      <c r="P104" s="81" t="s">
        <v>114</v>
      </c>
      <c r="S104" s="81">
        <v>6</v>
      </c>
      <c r="Y104" s="81">
        <v>1</v>
      </c>
      <c r="Z104" s="81">
        <v>2</v>
      </c>
      <c r="BG104" s="81">
        <v>1</v>
      </c>
      <c r="BS104" s="81">
        <v>5</v>
      </c>
      <c r="CK104" s="81">
        <v>1</v>
      </c>
      <c r="DM104" s="59"/>
    </row>
    <row r="105" spans="1:117" ht="15">
      <c r="A105" s="81">
        <v>3506</v>
      </c>
      <c r="B105" s="81" t="s">
        <v>113</v>
      </c>
      <c r="C105" s="81">
        <v>31</v>
      </c>
      <c r="D105" s="81" t="s">
        <v>1</v>
      </c>
      <c r="E105" s="81" t="s">
        <v>240</v>
      </c>
      <c r="F105" s="55">
        <v>19.3</v>
      </c>
      <c r="G105" s="55">
        <f>'Tabulka-detailní přehled '!$I105+'Tabulka-detailní přehled '!$F105</f>
        <v>19.3</v>
      </c>
      <c r="N105" s="81">
        <f t="shared" si="2"/>
        <v>0</v>
      </c>
      <c r="O105" s="55">
        <f t="shared" si="3"/>
        <v>19.3</v>
      </c>
      <c r="P105" s="81" t="s">
        <v>114</v>
      </c>
      <c r="R105" s="81">
        <v>3</v>
      </c>
      <c r="AK105" s="81">
        <v>0</v>
      </c>
      <c r="BF105" s="81">
        <v>1</v>
      </c>
      <c r="CK105" s="81"/>
      <c r="DM105" s="59"/>
    </row>
    <row r="106" spans="1:117" ht="15">
      <c r="A106" s="81">
        <v>3507</v>
      </c>
      <c r="B106" s="81" t="s">
        <v>113</v>
      </c>
      <c r="C106" s="81">
        <v>31</v>
      </c>
      <c r="D106" s="81" t="s">
        <v>1</v>
      </c>
      <c r="E106" s="81" t="s">
        <v>241</v>
      </c>
      <c r="F106" s="55">
        <f>2.4*4.85</f>
        <v>11.639999999999999</v>
      </c>
      <c r="G106" s="55">
        <f>'Tabulka-detailní přehled '!$I106+'Tabulka-detailní přehled '!$F106</f>
        <v>11.639999999999999</v>
      </c>
      <c r="N106" s="81">
        <f t="shared" si="2"/>
        <v>0</v>
      </c>
      <c r="O106" s="55">
        <f t="shared" si="3"/>
        <v>11.639999999999999</v>
      </c>
      <c r="P106" s="81" t="s">
        <v>120</v>
      </c>
      <c r="BF106" s="81">
        <v>1</v>
      </c>
      <c r="CK106" s="81"/>
      <c r="DM106" s="59"/>
    </row>
    <row r="107" spans="1:117" ht="15">
      <c r="A107" s="81">
        <v>3508</v>
      </c>
      <c r="B107" s="81" t="s">
        <v>113</v>
      </c>
      <c r="C107" s="81">
        <v>31</v>
      </c>
      <c r="D107" s="81" t="s">
        <v>1</v>
      </c>
      <c r="E107" s="81" t="s">
        <v>242</v>
      </c>
      <c r="F107" s="55">
        <f>2.85*4.65</f>
        <v>13.252500000000001</v>
      </c>
      <c r="G107" s="55">
        <f>'Tabulka-detailní přehled '!$I107+'Tabulka-detailní přehled '!$F107</f>
        <v>14.372500000000002</v>
      </c>
      <c r="H107" s="81" t="s">
        <v>126</v>
      </c>
      <c r="I107" s="81">
        <f>0.2*1.6+1.1*0.4+0.9*0.4</f>
        <v>1.12</v>
      </c>
      <c r="J107" s="81" t="s">
        <v>185</v>
      </c>
      <c r="M107" s="81">
        <v>0.6</v>
      </c>
      <c r="N107" s="81">
        <f t="shared" si="2"/>
        <v>0.6</v>
      </c>
      <c r="O107" s="55">
        <f t="shared" si="3"/>
        <v>13.772500000000003</v>
      </c>
      <c r="P107" s="81" t="s">
        <v>114</v>
      </c>
      <c r="X107" s="81">
        <v>1</v>
      </c>
      <c r="BC107" s="81">
        <v>1</v>
      </c>
      <c r="BH107" s="81">
        <v>2</v>
      </c>
      <c r="BS107" s="81">
        <v>2</v>
      </c>
      <c r="CK107" s="81">
        <v>1</v>
      </c>
      <c r="DM107" s="59"/>
    </row>
    <row r="108" spans="1:117" ht="15">
      <c r="A108" s="81">
        <v>3601</v>
      </c>
      <c r="B108" s="81" t="s">
        <v>116</v>
      </c>
      <c r="C108" s="81">
        <v>31</v>
      </c>
      <c r="D108" s="81" t="s">
        <v>1</v>
      </c>
      <c r="F108" s="55">
        <v>18</v>
      </c>
      <c r="G108" s="55">
        <f>'Tabulka-detailní přehled '!$I108+'Tabulka-detailní přehled '!$F108</f>
        <v>18</v>
      </c>
      <c r="O108" s="56">
        <f t="shared" si="3"/>
        <v>18</v>
      </c>
      <c r="P108" s="81" t="s">
        <v>114</v>
      </c>
      <c r="CB108" s="81">
        <v>2</v>
      </c>
      <c r="CK108" s="81"/>
      <c r="DG108" s="81">
        <v>1</v>
      </c>
      <c r="DH108" s="81">
        <v>1</v>
      </c>
      <c r="DM108" s="57"/>
    </row>
    <row r="109" spans="1:117" ht="15">
      <c r="A109" s="81">
        <v>3602</v>
      </c>
      <c r="B109" s="81" t="s">
        <v>116</v>
      </c>
      <c r="C109" s="81">
        <v>31</v>
      </c>
      <c r="D109" s="81" t="s">
        <v>1</v>
      </c>
      <c r="E109" s="81" t="s">
        <v>193</v>
      </c>
      <c r="F109" s="55">
        <f>2*1.75+2*2+2*3.87+2*2+2*1.75</f>
        <v>22.740000000000002</v>
      </c>
      <c r="G109" s="55">
        <f>'Tabulka-detailní přehled '!$I109+'Tabulka-detailní přehled '!$F109</f>
        <v>22.740000000000002</v>
      </c>
      <c r="N109" s="81">
        <v>0</v>
      </c>
      <c r="O109" s="56">
        <f t="shared" si="3"/>
        <v>22.740000000000002</v>
      </c>
      <c r="P109" s="81" t="s">
        <v>114</v>
      </c>
      <c r="CK109" s="81"/>
      <c r="DM109" s="57"/>
    </row>
    <row r="110" spans="1:117" ht="15">
      <c r="A110" s="81">
        <v>3603</v>
      </c>
      <c r="B110" s="81" t="s">
        <v>116</v>
      </c>
      <c r="C110" s="81">
        <v>31</v>
      </c>
      <c r="D110" s="81" t="s">
        <v>1</v>
      </c>
      <c r="F110" s="55">
        <v>14.2</v>
      </c>
      <c r="G110" s="55">
        <f>'Tabulka-detailní přehled '!$I110+'Tabulka-detailní přehled '!$F110</f>
        <v>14.2</v>
      </c>
      <c r="O110" s="56">
        <f t="shared" si="3"/>
        <v>14.2</v>
      </c>
      <c r="P110" s="81" t="s">
        <v>114</v>
      </c>
      <c r="BR110" s="81">
        <v>2</v>
      </c>
      <c r="CK110" s="81"/>
      <c r="DM110" s="57"/>
    </row>
    <row r="111" spans="1:117" ht="15">
      <c r="A111" s="81">
        <v>4280</v>
      </c>
      <c r="B111" s="81" t="s">
        <v>131</v>
      </c>
      <c r="C111" s="81">
        <v>41</v>
      </c>
      <c r="D111" s="81" t="s">
        <v>359</v>
      </c>
      <c r="F111" s="55">
        <v>19.1</v>
      </c>
      <c r="G111" s="55">
        <f>'Tabulka-detailní přehled '!$I111+'Tabulka-detailní přehled '!$F111</f>
        <v>19.1</v>
      </c>
      <c r="O111" s="56">
        <f t="shared" si="3"/>
        <v>19.1</v>
      </c>
      <c r="P111" s="81" t="s">
        <v>123</v>
      </c>
      <c r="R111" s="81">
        <v>2</v>
      </c>
      <c r="AM111" s="81">
        <v>6</v>
      </c>
      <c r="AQ111" s="81">
        <v>1</v>
      </c>
      <c r="BT111" s="81">
        <v>1</v>
      </c>
      <c r="CK111" s="81"/>
      <c r="CV111" s="81">
        <v>2</v>
      </c>
      <c r="DM111" s="59"/>
    </row>
    <row r="112" spans="1:117" ht="15">
      <c r="A112" s="81">
        <v>4290</v>
      </c>
      <c r="B112" s="81" t="s">
        <v>131</v>
      </c>
      <c r="C112" s="81">
        <v>41</v>
      </c>
      <c r="D112" s="81" t="s">
        <v>359</v>
      </c>
      <c r="F112" s="55">
        <v>10.9</v>
      </c>
      <c r="G112" s="55">
        <f>'Tabulka-detailní přehled '!$I112+'Tabulka-detailní přehled '!$F112</f>
        <v>10.9</v>
      </c>
      <c r="O112" s="56">
        <f t="shared" si="3"/>
        <v>10.9</v>
      </c>
      <c r="P112" s="81" t="s">
        <v>123</v>
      </c>
      <c r="R112" s="81">
        <v>1</v>
      </c>
      <c r="AM112" s="81">
        <v>3</v>
      </c>
      <c r="AQ112" s="81">
        <v>1</v>
      </c>
      <c r="BT112" s="81">
        <v>1</v>
      </c>
      <c r="CK112" s="81"/>
      <c r="CX112" s="81">
        <v>1</v>
      </c>
      <c r="DM112" s="59"/>
    </row>
    <row r="113" spans="1:117" ht="15">
      <c r="A113" s="81">
        <v>4503</v>
      </c>
      <c r="B113" s="81" t="s">
        <v>113</v>
      </c>
      <c r="C113" s="81">
        <v>41</v>
      </c>
      <c r="D113" s="81" t="s">
        <v>1</v>
      </c>
      <c r="F113" s="55">
        <v>29.7</v>
      </c>
      <c r="G113" s="55">
        <f>'Tabulka-detailní přehled '!$I113+'Tabulka-detailní přehled '!$F113</f>
        <v>29.7</v>
      </c>
      <c r="O113" s="56">
        <f t="shared" si="3"/>
        <v>29.7</v>
      </c>
      <c r="P113" s="81" t="s">
        <v>114</v>
      </c>
      <c r="S113" s="81">
        <v>3</v>
      </c>
      <c r="BS113" s="81">
        <v>2</v>
      </c>
      <c r="CB113" s="81">
        <v>1</v>
      </c>
      <c r="CK113" s="81"/>
      <c r="CQ113" s="81">
        <v>2</v>
      </c>
      <c r="DM113" s="57"/>
    </row>
    <row r="114" spans="1:117" ht="15">
      <c r="A114" s="81">
        <v>4505</v>
      </c>
      <c r="B114" s="81" t="s">
        <v>113</v>
      </c>
      <c r="C114" s="81">
        <v>41</v>
      </c>
      <c r="D114" s="81" t="s">
        <v>1</v>
      </c>
      <c r="F114" s="55">
        <v>6.3</v>
      </c>
      <c r="G114" s="55">
        <f>'Tabulka-detailní přehled '!$I114+'Tabulka-detailní přehled '!$F114</f>
        <v>6.3</v>
      </c>
      <c r="O114" s="56">
        <f t="shared" si="3"/>
        <v>6.3</v>
      </c>
      <c r="P114" s="81" t="s">
        <v>114</v>
      </c>
      <c r="BS114" s="81">
        <v>2</v>
      </c>
      <c r="CK114" s="81"/>
      <c r="DM114" s="57"/>
    </row>
    <row r="115" spans="1:117" ht="15">
      <c r="A115" s="81">
        <v>5160</v>
      </c>
      <c r="B115" s="81" t="s">
        <v>243</v>
      </c>
      <c r="C115" s="81">
        <v>51</v>
      </c>
      <c r="D115" s="81" t="s">
        <v>3</v>
      </c>
      <c r="E115" s="81" t="s">
        <v>244</v>
      </c>
      <c r="F115" s="55">
        <f>4.9*8.05+2*0.6</f>
        <v>40.64500000000001</v>
      </c>
      <c r="G115" s="55">
        <f>'Tabulka-detailní přehled '!$I115+'Tabulka-detailní přehled '!$F115</f>
        <v>40.64500000000001</v>
      </c>
      <c r="N115" s="81">
        <f>(K115*0.376)+(L115*0.48)+M115</f>
        <v>0</v>
      </c>
      <c r="O115" s="56">
        <f t="shared" si="3"/>
        <v>40.64500000000001</v>
      </c>
      <c r="P115" s="81" t="s">
        <v>120</v>
      </c>
      <c r="AD115" s="81">
        <v>3</v>
      </c>
      <c r="BH115" s="81">
        <v>1</v>
      </c>
      <c r="BU115" s="81">
        <v>3</v>
      </c>
      <c r="CK115" s="81"/>
      <c r="CQ115" s="81">
        <v>2</v>
      </c>
      <c r="DM115" s="59"/>
    </row>
    <row r="116" spans="1:117" ht="15">
      <c r="A116" s="81">
        <v>5502</v>
      </c>
      <c r="B116" s="81" t="s">
        <v>113</v>
      </c>
      <c r="C116" s="81">
        <v>51</v>
      </c>
      <c r="D116" s="81" t="s">
        <v>3</v>
      </c>
      <c r="F116" s="55">
        <v>50.4</v>
      </c>
      <c r="G116" s="55">
        <f>'Tabulka-detailní přehled '!$I116+'Tabulka-detailní přehled '!$F116</f>
        <v>50.4</v>
      </c>
      <c r="O116" s="56">
        <f t="shared" si="3"/>
        <v>50.4</v>
      </c>
      <c r="P116" s="81" t="s">
        <v>256</v>
      </c>
      <c r="BR116" s="81">
        <v>1</v>
      </c>
      <c r="BS116" s="81">
        <v>6</v>
      </c>
      <c r="CG116" s="81">
        <v>1</v>
      </c>
      <c r="CK116" s="81"/>
      <c r="DJ116" s="81">
        <v>4</v>
      </c>
      <c r="DM116" s="59"/>
    </row>
    <row r="117" spans="1:117" ht="15">
      <c r="A117" s="81">
        <v>5503</v>
      </c>
      <c r="B117" s="81" t="s">
        <v>113</v>
      </c>
      <c r="C117" s="81">
        <v>51</v>
      </c>
      <c r="D117" s="81" t="s">
        <v>3</v>
      </c>
      <c r="F117" s="55">
        <v>16.4</v>
      </c>
      <c r="G117" s="55">
        <f>'Tabulka-detailní přehled '!$I117+'Tabulka-detailní přehled '!$F117</f>
        <v>16.4</v>
      </c>
      <c r="O117" s="56">
        <f t="shared" si="3"/>
        <v>16.4</v>
      </c>
      <c r="P117" s="81" t="s">
        <v>256</v>
      </c>
      <c r="BS117" s="81">
        <v>2</v>
      </c>
      <c r="CK117" s="81"/>
      <c r="DM117" s="59"/>
    </row>
    <row r="118" spans="1:117" ht="15">
      <c r="A118" s="76">
        <f>SUBTOTAL(103,A3:A117)</f>
        <v>115</v>
      </c>
      <c r="B118" s="76"/>
      <c r="C118" s="76"/>
      <c r="D118" s="76"/>
      <c r="E118" s="76"/>
      <c r="F118" s="77">
        <f>SUBTOTAL(109,F3:F117)</f>
        <v>2335.425299999999</v>
      </c>
      <c r="G118" s="77"/>
      <c r="H118" s="76"/>
      <c r="I118" s="76">
        <f>SUBTOTAL(109,I3:I117)</f>
        <v>48.20499999999997</v>
      </c>
      <c r="J118" s="76"/>
      <c r="K118" s="76"/>
      <c r="L118" s="76"/>
      <c r="M118" s="76"/>
      <c r="N118" s="76">
        <f>SUBTOTAL(109,N3:N117)</f>
        <v>40.24199999999999</v>
      </c>
      <c r="O118" s="78">
        <f>SUBTOTAL(109,O3:O117)</f>
        <v>2343.3883</v>
      </c>
      <c r="P118" s="76"/>
      <c r="Q118" s="76">
        <f aca="true" t="shared" si="4" ref="Q118:AB118">SUBTOTAL(109,Q3:Q117)</f>
        <v>9</v>
      </c>
      <c r="R118" s="76">
        <f t="shared" si="4"/>
        <v>90</v>
      </c>
      <c r="S118" s="76">
        <f t="shared" si="4"/>
        <v>21</v>
      </c>
      <c r="T118" s="76">
        <f t="shared" si="4"/>
        <v>6</v>
      </c>
      <c r="U118" s="76">
        <f t="shared" si="4"/>
        <v>8</v>
      </c>
      <c r="V118" s="76">
        <f t="shared" si="4"/>
        <v>94.3</v>
      </c>
      <c r="W118" s="76">
        <f t="shared" si="4"/>
        <v>10</v>
      </c>
      <c r="X118" s="76">
        <f t="shared" si="4"/>
        <v>2</v>
      </c>
      <c r="Y118" s="76">
        <f t="shared" si="4"/>
        <v>2</v>
      </c>
      <c r="Z118" s="76">
        <f t="shared" si="4"/>
        <v>4</v>
      </c>
      <c r="AA118" s="76">
        <f t="shared" si="4"/>
        <v>3</v>
      </c>
      <c r="AB118" s="76">
        <f t="shared" si="4"/>
        <v>6</v>
      </c>
      <c r="AC118" s="76">
        <f>SUBTOTAL(109,U3:U117)</f>
        <v>8</v>
      </c>
      <c r="AD118" s="76">
        <f>SUBTOTAL(109,AD3:AD117)</f>
        <v>3</v>
      </c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9"/>
    </row>
  </sheetData>
  <sheetProtection/>
  <mergeCells count="6">
    <mergeCell ref="H1:I1"/>
    <mergeCell ref="J1:N1"/>
    <mergeCell ref="Q1:AD1"/>
    <mergeCell ref="AE1:AN1"/>
    <mergeCell ref="AO1:BP1"/>
    <mergeCell ref="CI1:DL1"/>
  </mergeCells>
  <conditionalFormatting sqref="A6:A117 A119:A65536 A1:A4">
    <cfRule type="duplicateValues" priority="2" dxfId="13">
      <formula>AND(COUNTIF($A$6:$A$117,A1)+COUNTIF($A$119:$A$65536,A1)+COUNTIF($A$1:$A$4,A1)&gt;1,NOT(ISBLANK(A1)))</formula>
    </cfRule>
  </conditionalFormatting>
  <conditionalFormatting sqref="A5">
    <cfRule type="duplicateValues" priority="1" dxfId="13">
      <formula>AND(COUNTIF($A$5:$A$5,A5)&gt;1,NOT(ISBLANK(A5)))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>
    <oddHeader>&amp;LPříloha č. 1b_Specifikace a výměry prostor k úklidu_detailní přehled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FÚ v Jičíně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Tomešová Bohdana (ÚP v Jičíně)</dc:creator>
  <cp:keywords/>
  <dc:description/>
  <cp:lastModifiedBy>Šebová Jiřina Bc.</cp:lastModifiedBy>
  <cp:lastPrinted>2015-03-05T14:34:50Z</cp:lastPrinted>
  <dcterms:created xsi:type="dcterms:W3CDTF">2013-01-25T12:21:57Z</dcterms:created>
  <dcterms:modified xsi:type="dcterms:W3CDTF">2015-03-06T07:35:55Z</dcterms:modified>
  <cp:category/>
  <cp:version/>
  <cp:contentType/>
  <cp:contentStatus/>
</cp:coreProperties>
</file>